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Volumes/MATASZSZ/Bizottságok/Műszaki Bizottság/TNM rendelet/2024/"/>
    </mc:Choice>
  </mc:AlternateContent>
  <xr:revisionPtr revIDLastSave="0" documentId="8_{BBF94166-61CB-BC47-856E-2ADCD91C2012}" xr6:coauthVersionLast="47" xr6:coauthVersionMax="47" xr10:uidLastSave="{00000000-0000-0000-0000-000000000000}"/>
  <bookViews>
    <workbookView xWindow="0" yWindow="500" windowWidth="28800" windowHeight="12000" activeTab="4" xr2:uid="{00000000-000D-0000-FFFF-FFFF00000000}"/>
  </bookViews>
  <sheets>
    <sheet name="rendszerek" sheetId="3" r:id="rId1"/>
    <sheet name="telephelyek" sheetId="2" r:id="rId2"/>
    <sheet name="Egységek" sheetId="1" r:id="rId3"/>
    <sheet name="Egység_összegzés" sheetId="6" r:id="rId4"/>
    <sheet name="Telephely_összegzés" sheetId="8" r:id="rId5"/>
    <sheet name="FUELS" sheetId="4" r:id="rId6"/>
    <sheet name="technológiák" sheetId="5" r:id="rId7"/>
    <sheet name="alfa_vill." sheetId="7" r:id="rId8"/>
  </sheets>
  <definedNames>
    <definedName name="_xlnm._FilterDatabase" localSheetId="2" hidden="1">Egységek!$A$2:$AZ$33</definedName>
    <definedName name="_xlnm._FilterDatabase" localSheetId="1" hidden="1">telephelyek!$A$1:$Y$53</definedName>
    <definedName name="amb_source">FUELS!$B$17:$B$19</definedName>
    <definedName name="Fuels">FUELS!$B$4:$B$19</definedName>
    <definedName name="technológiák">technológiák!$B$3:$B$11</definedName>
  </definedNames>
  <calcPr calcId="191029"/>
  <pivotCaches>
    <pivotCache cacheId="4" r:id="rId9"/>
    <pivotCache cacheId="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3" i="1" l="1"/>
  <c r="AY33" i="1"/>
  <c r="AX33" i="1"/>
  <c r="AW33" i="1"/>
  <c r="AV33" i="1"/>
  <c r="AU33" i="1"/>
  <c r="AT33" i="1"/>
  <c r="AS33" i="1"/>
  <c r="AN33" i="1"/>
  <c r="AR33" i="1" s="1"/>
  <c r="AJ33" i="1"/>
  <c r="AI33" i="1"/>
  <c r="AA33" i="1"/>
  <c r="Z33" i="1"/>
  <c r="AF33" i="1" s="1"/>
  <c r="W33" i="1"/>
  <c r="T33" i="1"/>
  <c r="R33" i="1"/>
  <c r="K33" i="1"/>
  <c r="D33" i="1"/>
  <c r="G10" i="2"/>
  <c r="G11" i="3"/>
  <c r="N6" i="3"/>
  <c r="O13" i="3"/>
  <c r="N10" i="3"/>
  <c r="N13" i="3"/>
  <c r="G15" i="3"/>
  <c r="M8" i="3"/>
  <c r="G12" i="3"/>
  <c r="G9" i="3"/>
  <c r="O6" i="3"/>
  <c r="N8" i="3"/>
  <c r="M4" i="3"/>
  <c r="G6" i="3"/>
  <c r="L13" i="3"/>
  <c r="O9" i="3"/>
  <c r="L6" i="3"/>
  <c r="G13" i="3"/>
  <c r="N14" i="3"/>
  <c r="L8" i="3"/>
  <c r="L10" i="3"/>
  <c r="L4" i="3"/>
  <c r="G8" i="3"/>
  <c r="G10" i="3"/>
  <c r="G4" i="3"/>
  <c r="N5" i="3"/>
  <c r="G5" i="3"/>
  <c r="O8" i="3"/>
  <c r="N11" i="3"/>
  <c r="O15" i="3"/>
  <c r="M7" i="3"/>
  <c r="O7" i="3"/>
  <c r="M11" i="3"/>
  <c r="N15" i="3"/>
  <c r="L9" i="3"/>
  <c r="N7" i="3"/>
  <c r="M15" i="3"/>
  <c r="G14" i="3"/>
  <c r="L5" i="3"/>
  <c r="O5" i="3"/>
  <c r="M13" i="3"/>
  <c r="L14" i="3"/>
  <c r="M6" i="3"/>
  <c r="N4" i="3"/>
  <c r="O14" i="3"/>
  <c r="O11" i="3"/>
  <c r="M9" i="3"/>
  <c r="O10" i="3"/>
  <c r="N9" i="3"/>
  <c r="M10" i="3"/>
  <c r="M5" i="3"/>
  <c r="N12" i="3"/>
  <c r="L15" i="3"/>
  <c r="M12" i="3"/>
  <c r="L7" i="3"/>
  <c r="O4" i="3"/>
  <c r="O12" i="3"/>
  <c r="G7" i="3"/>
  <c r="M14" i="3"/>
  <c r="L12" i="3"/>
  <c r="L11" i="3"/>
  <c r="C4" i="3" l="1"/>
  <c r="E6" i="3"/>
  <c r="F6" i="3" s="1"/>
  <c r="E8" i="3"/>
  <c r="F8" i="3" s="1"/>
  <c r="B11" i="3"/>
  <c r="B4" i="3"/>
  <c r="B10" i="3"/>
  <c r="C14" i="3"/>
  <c r="E12" i="3"/>
  <c r="F12" i="3" s="1"/>
  <c r="B7" i="3"/>
  <c r="B15" i="3"/>
  <c r="C5" i="3"/>
  <c r="B8" i="3"/>
  <c r="E9" i="3"/>
  <c r="F9" i="3" s="1"/>
  <c r="B6" i="3"/>
  <c r="B9" i="3"/>
  <c r="C11" i="3"/>
  <c r="C7" i="3"/>
  <c r="C9" i="3"/>
  <c r="E11" i="3"/>
  <c r="F11" i="3" s="1"/>
  <c r="C8" i="3"/>
  <c r="E13" i="3"/>
  <c r="F13" i="3" s="1"/>
  <c r="B12" i="3"/>
  <c r="E14" i="3"/>
  <c r="F14" i="3" s="1"/>
  <c r="C6" i="3"/>
  <c r="B14" i="3"/>
  <c r="C13" i="3"/>
  <c r="E5" i="3"/>
  <c r="F5" i="3" s="1"/>
  <c r="E4" i="3"/>
  <c r="F4" i="3" s="1"/>
  <c r="C12" i="3"/>
  <c r="C10" i="3"/>
  <c r="E10" i="3"/>
  <c r="F10" i="3" s="1"/>
  <c r="B5" i="3"/>
  <c r="D5" i="3" s="1"/>
  <c r="B13" i="3"/>
  <c r="C15" i="3"/>
  <c r="E7" i="3"/>
  <c r="F7" i="3" s="1"/>
  <c r="E15" i="3"/>
  <c r="F15" i="3" s="1"/>
  <c r="T11" i="3"/>
  <c r="U11" i="3" s="1"/>
  <c r="R15" i="3"/>
  <c r="T14" i="3"/>
  <c r="U14" i="3" s="1"/>
  <c r="R11" i="3"/>
  <c r="T10" i="3"/>
  <c r="U10" i="3" s="1"/>
  <c r="R7" i="3"/>
  <c r="S14" i="3"/>
  <c r="Q11" i="3"/>
  <c r="Q7" i="3"/>
  <c r="R14" i="3"/>
  <c r="T13" i="3"/>
  <c r="U13" i="3" s="1"/>
  <c r="R10" i="3"/>
  <c r="T9" i="3"/>
  <c r="U9" i="3" s="1"/>
  <c r="Q15" i="3"/>
  <c r="S10" i="3"/>
  <c r="Q14" i="3"/>
  <c r="S13" i="3"/>
  <c r="Q10" i="3"/>
  <c r="S9" i="3"/>
  <c r="R13" i="3"/>
  <c r="T12" i="3"/>
  <c r="U12" i="3" s="1"/>
  <c r="R9" i="3"/>
  <c r="T8" i="3"/>
  <c r="U8" i="3" s="1"/>
  <c r="Q13" i="3"/>
  <c r="S12" i="3"/>
  <c r="Q9" i="3"/>
  <c r="S8" i="3"/>
  <c r="T15" i="3"/>
  <c r="U15" i="3" s="1"/>
  <c r="R12" i="3"/>
  <c r="R8" i="3"/>
  <c r="T7" i="3"/>
  <c r="U7" i="3" s="1"/>
  <c r="S15" i="3"/>
  <c r="Q12" i="3"/>
  <c r="S11" i="3"/>
  <c r="Q8" i="3"/>
  <c r="S7" i="3"/>
  <c r="J15" i="3"/>
  <c r="J14" i="3"/>
  <c r="J13" i="3"/>
  <c r="J8" i="3"/>
  <c r="J11" i="3"/>
  <c r="J7" i="3"/>
  <c r="J10" i="3"/>
  <c r="J9" i="3"/>
  <c r="P33" i="1"/>
  <c r="Y33" i="1" s="1"/>
  <c r="AM33" i="1"/>
  <c r="AE33" i="1"/>
  <c r="AQ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4" i="3"/>
  <c r="J23" i="3"/>
  <c r="J22" i="3"/>
  <c r="J21" i="3"/>
  <c r="J20" i="3"/>
  <c r="J19" i="3"/>
  <c r="J18" i="3"/>
  <c r="J17" i="3"/>
  <c r="J16" i="3"/>
  <c r="AW3" i="1"/>
  <c r="AX3" i="1"/>
  <c r="AY3" i="1"/>
  <c r="AZ3" i="1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T32" i="1"/>
  <c r="T31" i="1"/>
  <c r="T30" i="1"/>
  <c r="T29" i="1"/>
  <c r="T28" i="1"/>
  <c r="T27" i="1"/>
  <c r="T26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0" i="1"/>
  <c r="T9" i="1"/>
  <c r="T8" i="1"/>
  <c r="T7" i="1"/>
  <c r="T6" i="1"/>
  <c r="T5" i="1"/>
  <c r="T4" i="1"/>
  <c r="T3" i="1"/>
  <c r="G53" i="2"/>
  <c r="G45" i="2"/>
  <c r="G37" i="2"/>
  <c r="G29" i="2"/>
  <c r="G21" i="2"/>
  <c r="G52" i="2"/>
  <c r="G44" i="2"/>
  <c r="G36" i="2"/>
  <c r="G28" i="2"/>
  <c r="G20" i="2"/>
  <c r="G51" i="2"/>
  <c r="G43" i="2"/>
  <c r="G35" i="2"/>
  <c r="G27" i="2"/>
  <c r="G47" i="2"/>
  <c r="G23" i="2"/>
  <c r="G50" i="2"/>
  <c r="G42" i="2"/>
  <c r="G34" i="2"/>
  <c r="G26" i="2"/>
  <c r="G39" i="2"/>
  <c r="G49" i="2"/>
  <c r="G41" i="2"/>
  <c r="G33" i="2"/>
  <c r="G25" i="2"/>
  <c r="G48" i="2"/>
  <c r="G40" i="2"/>
  <c r="G32" i="2"/>
  <c r="G24" i="2"/>
  <c r="G31" i="2"/>
  <c r="G46" i="2"/>
  <c r="G38" i="2"/>
  <c r="G30" i="2"/>
  <c r="G22" i="2"/>
  <c r="G18" i="2"/>
  <c r="G6" i="2"/>
  <c r="G16" i="2"/>
  <c r="G19" i="2"/>
  <c r="G15" i="2"/>
  <c r="G11" i="2"/>
  <c r="G4" i="2"/>
  <c r="G14" i="2"/>
  <c r="G13" i="2"/>
  <c r="G5" i="2"/>
  <c r="G17" i="2"/>
  <c r="G7" i="2"/>
  <c r="G12" i="2"/>
  <c r="G9" i="2"/>
  <c r="G2" i="2"/>
  <c r="G3" i="2"/>
  <c r="G8" i="2"/>
  <c r="D4" i="3" l="1"/>
  <c r="D13" i="3"/>
  <c r="D14" i="3"/>
  <c r="D8" i="3"/>
  <c r="D11" i="3"/>
  <c r="D9" i="3"/>
  <c r="D12" i="3"/>
  <c r="D6" i="3"/>
  <c r="D15" i="3"/>
  <c r="D10" i="3"/>
  <c r="D7" i="3"/>
  <c r="Q5" i="3"/>
  <c r="S6" i="3"/>
  <c r="T6" i="3"/>
  <c r="U6" i="3" s="1"/>
  <c r="S5" i="3"/>
  <c r="T5" i="3"/>
  <c r="U5" i="3" s="1"/>
  <c r="Q6" i="3"/>
  <c r="R5" i="3"/>
  <c r="R4" i="3"/>
  <c r="T4" i="3"/>
  <c r="U4" i="3" s="1"/>
  <c r="R6" i="3"/>
  <c r="Q4" i="3"/>
  <c r="S4" i="3"/>
  <c r="J12" i="3"/>
  <c r="N33" i="1"/>
  <c r="L33" i="1"/>
  <c r="O33" i="1"/>
  <c r="AG33" i="1"/>
  <c r="AH33" i="1"/>
  <c r="M33" i="1"/>
  <c r="J4" i="3"/>
  <c r="J5" i="3"/>
  <c r="J6" i="3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45" i="2"/>
  <c r="F39" i="2"/>
  <c r="D39" i="2"/>
  <c r="F34" i="2"/>
  <c r="C22" i="2"/>
  <c r="F21" i="2"/>
  <c r="F19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Y10" i="2" s="1"/>
  <c r="U9" i="2"/>
  <c r="U8" i="2"/>
  <c r="U7" i="2"/>
  <c r="U6" i="2"/>
  <c r="U5" i="2"/>
  <c r="Y5" i="2" s="1"/>
  <c r="U4" i="2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40" i="2"/>
  <c r="P40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2" i="2"/>
  <c r="P32" i="2" s="1"/>
  <c r="O31" i="2"/>
  <c r="P31" i="2" s="1"/>
  <c r="O30" i="2"/>
  <c r="P30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O5" i="2"/>
  <c r="P5" i="2" s="1"/>
  <c r="O4" i="2"/>
  <c r="P4" i="2" s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AV32" i="1"/>
  <c r="AU32" i="1"/>
  <c r="AT32" i="1"/>
  <c r="AS32" i="1"/>
  <c r="AV31" i="1"/>
  <c r="AU31" i="1"/>
  <c r="AT31" i="1"/>
  <c r="AS31" i="1"/>
  <c r="AV30" i="1"/>
  <c r="AU30" i="1"/>
  <c r="AT30" i="1"/>
  <c r="AS30" i="1"/>
  <c r="AV29" i="1"/>
  <c r="AU29" i="1"/>
  <c r="AT29" i="1"/>
  <c r="AS29" i="1"/>
  <c r="AV28" i="1"/>
  <c r="AU28" i="1"/>
  <c r="AT28" i="1"/>
  <c r="AS28" i="1"/>
  <c r="AV27" i="1"/>
  <c r="AU27" i="1"/>
  <c r="AT27" i="1"/>
  <c r="AS27" i="1"/>
  <c r="AV26" i="1"/>
  <c r="AU26" i="1"/>
  <c r="AT26" i="1"/>
  <c r="AS26" i="1"/>
  <c r="AV25" i="1"/>
  <c r="AU25" i="1"/>
  <c r="AT25" i="1"/>
  <c r="AS25" i="1"/>
  <c r="AV24" i="1"/>
  <c r="AU24" i="1"/>
  <c r="AT24" i="1"/>
  <c r="AS24" i="1"/>
  <c r="AV23" i="1"/>
  <c r="AU23" i="1"/>
  <c r="AT23" i="1"/>
  <c r="AS23" i="1"/>
  <c r="AV22" i="1"/>
  <c r="AU22" i="1"/>
  <c r="AT22" i="1"/>
  <c r="AS22" i="1"/>
  <c r="AV21" i="1"/>
  <c r="AU21" i="1"/>
  <c r="AT21" i="1"/>
  <c r="AS21" i="1"/>
  <c r="AV20" i="1"/>
  <c r="AU20" i="1"/>
  <c r="AT20" i="1"/>
  <c r="AS20" i="1"/>
  <c r="AV19" i="1"/>
  <c r="AU19" i="1"/>
  <c r="AT19" i="1"/>
  <c r="AS19" i="1"/>
  <c r="AV18" i="1"/>
  <c r="AU18" i="1"/>
  <c r="AT18" i="1"/>
  <c r="AS18" i="1"/>
  <c r="AV17" i="1"/>
  <c r="AU17" i="1"/>
  <c r="AT17" i="1"/>
  <c r="AS17" i="1"/>
  <c r="AV16" i="1"/>
  <c r="AU16" i="1"/>
  <c r="AT16" i="1"/>
  <c r="AS16" i="1"/>
  <c r="AV15" i="1"/>
  <c r="AU15" i="1"/>
  <c r="AT15" i="1"/>
  <c r="AS15" i="1"/>
  <c r="AV14" i="1"/>
  <c r="AU14" i="1"/>
  <c r="AT14" i="1"/>
  <c r="AS14" i="1"/>
  <c r="AV13" i="1"/>
  <c r="AU13" i="1"/>
  <c r="AT13" i="1"/>
  <c r="AS13" i="1"/>
  <c r="AV12" i="1"/>
  <c r="AU12" i="1"/>
  <c r="AT12" i="1"/>
  <c r="AS12" i="1"/>
  <c r="AV11" i="1"/>
  <c r="AU11" i="1"/>
  <c r="AT11" i="1"/>
  <c r="AS11" i="1"/>
  <c r="AV10" i="1"/>
  <c r="AU10" i="1"/>
  <c r="AT10" i="1"/>
  <c r="AS10" i="1"/>
  <c r="AV9" i="1"/>
  <c r="AU9" i="1"/>
  <c r="AT9" i="1"/>
  <c r="AS9" i="1"/>
  <c r="AV8" i="1"/>
  <c r="AU8" i="1"/>
  <c r="AT8" i="1"/>
  <c r="AS8" i="1"/>
  <c r="AV7" i="1"/>
  <c r="AU7" i="1"/>
  <c r="AT7" i="1"/>
  <c r="AS7" i="1"/>
  <c r="AV6" i="1"/>
  <c r="AU6" i="1"/>
  <c r="AT6" i="1"/>
  <c r="AS6" i="1"/>
  <c r="AV5" i="1"/>
  <c r="AU5" i="1"/>
  <c r="AT5" i="1"/>
  <c r="AS5" i="1"/>
  <c r="AV4" i="1"/>
  <c r="AU4" i="1"/>
  <c r="AT4" i="1"/>
  <c r="AS4" i="1"/>
  <c r="AV3" i="1"/>
  <c r="AU3" i="1"/>
  <c r="AT3" i="1"/>
  <c r="AS3" i="1"/>
  <c r="AZ32" i="1"/>
  <c r="AY32" i="1"/>
  <c r="AX32" i="1"/>
  <c r="AW32" i="1"/>
  <c r="AZ31" i="1"/>
  <c r="AY31" i="1"/>
  <c r="AX31" i="1"/>
  <c r="AW31" i="1"/>
  <c r="AZ30" i="1"/>
  <c r="AY30" i="1"/>
  <c r="AX30" i="1"/>
  <c r="AW30" i="1"/>
  <c r="AZ29" i="1"/>
  <c r="AY29" i="1"/>
  <c r="AX29" i="1"/>
  <c r="AW29" i="1"/>
  <c r="AZ28" i="1"/>
  <c r="AY28" i="1"/>
  <c r="AX28" i="1"/>
  <c r="AW28" i="1"/>
  <c r="AZ27" i="1"/>
  <c r="AY27" i="1"/>
  <c r="AX27" i="1"/>
  <c r="AW27" i="1"/>
  <c r="AZ26" i="1"/>
  <c r="AY26" i="1"/>
  <c r="AX26" i="1"/>
  <c r="AW26" i="1"/>
  <c r="AZ25" i="1"/>
  <c r="AY25" i="1"/>
  <c r="AX25" i="1"/>
  <c r="AW25" i="1"/>
  <c r="AZ24" i="1"/>
  <c r="AY24" i="1"/>
  <c r="AX24" i="1"/>
  <c r="AW24" i="1"/>
  <c r="AZ23" i="1"/>
  <c r="AY23" i="1"/>
  <c r="AX23" i="1"/>
  <c r="AW23" i="1"/>
  <c r="AZ22" i="1"/>
  <c r="AY22" i="1"/>
  <c r="AX22" i="1"/>
  <c r="AW22" i="1"/>
  <c r="AZ21" i="1"/>
  <c r="AY21" i="1"/>
  <c r="AX21" i="1"/>
  <c r="AW21" i="1"/>
  <c r="AZ20" i="1"/>
  <c r="AY20" i="1"/>
  <c r="AX20" i="1"/>
  <c r="AW20" i="1"/>
  <c r="AZ19" i="1"/>
  <c r="AY19" i="1"/>
  <c r="AX19" i="1"/>
  <c r="AW19" i="1"/>
  <c r="AZ18" i="1"/>
  <c r="AY18" i="1"/>
  <c r="AX18" i="1"/>
  <c r="AW18" i="1"/>
  <c r="AZ17" i="1"/>
  <c r="AY17" i="1"/>
  <c r="AX17" i="1"/>
  <c r="AW17" i="1"/>
  <c r="AZ16" i="1"/>
  <c r="AY16" i="1"/>
  <c r="AX16" i="1"/>
  <c r="AW16" i="1"/>
  <c r="AZ15" i="1"/>
  <c r="AY15" i="1"/>
  <c r="AX15" i="1"/>
  <c r="AW15" i="1"/>
  <c r="AZ14" i="1"/>
  <c r="AY14" i="1"/>
  <c r="AX14" i="1"/>
  <c r="AW14" i="1"/>
  <c r="AZ13" i="1"/>
  <c r="AY13" i="1"/>
  <c r="AX13" i="1"/>
  <c r="AW13" i="1"/>
  <c r="AZ12" i="1"/>
  <c r="AY12" i="1"/>
  <c r="AX12" i="1"/>
  <c r="AW12" i="1"/>
  <c r="AZ11" i="1"/>
  <c r="AY11" i="1"/>
  <c r="AX11" i="1"/>
  <c r="AW11" i="1"/>
  <c r="AZ10" i="1"/>
  <c r="AY10" i="1"/>
  <c r="AX10" i="1"/>
  <c r="AW10" i="1"/>
  <c r="AZ9" i="1"/>
  <c r="AY9" i="1"/>
  <c r="AX9" i="1"/>
  <c r="AW9" i="1"/>
  <c r="AZ8" i="1"/>
  <c r="AY8" i="1"/>
  <c r="AX8" i="1"/>
  <c r="AW8" i="1"/>
  <c r="AZ7" i="1"/>
  <c r="AY7" i="1"/>
  <c r="AX7" i="1"/>
  <c r="AW7" i="1"/>
  <c r="AZ6" i="1"/>
  <c r="AY6" i="1"/>
  <c r="AX6" i="1"/>
  <c r="AW6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A32" i="1"/>
  <c r="AA31" i="1"/>
  <c r="AA30" i="1"/>
  <c r="AA29" i="1"/>
  <c r="AA28" i="1"/>
  <c r="AA27" i="1"/>
  <c r="AA26" i="1"/>
  <c r="AA25" i="1"/>
  <c r="AA24" i="1"/>
  <c r="AA23" i="1"/>
  <c r="T25" i="1" s="1"/>
  <c r="AA22" i="1"/>
  <c r="AA21" i="1"/>
  <c r="AA20" i="1"/>
  <c r="AA19" i="1"/>
  <c r="AA18" i="1"/>
  <c r="AA17" i="1"/>
  <c r="AA16" i="1"/>
  <c r="AA15" i="1"/>
  <c r="AA14" i="1"/>
  <c r="AA13" i="1"/>
  <c r="AA12" i="1"/>
  <c r="AA11" i="1"/>
  <c r="T14" i="1" s="1"/>
  <c r="AA10" i="1"/>
  <c r="AA9" i="1"/>
  <c r="AA8" i="1"/>
  <c r="AA7" i="1"/>
  <c r="AA6" i="1"/>
  <c r="AA5" i="1"/>
  <c r="AA4" i="1"/>
  <c r="AA3" i="1"/>
  <c r="Z32" i="1"/>
  <c r="AM32" i="1" s="1"/>
  <c r="Z31" i="1"/>
  <c r="AM31" i="1" s="1"/>
  <c r="Z30" i="1"/>
  <c r="AM30" i="1" s="1"/>
  <c r="Z29" i="1"/>
  <c r="Z28" i="1"/>
  <c r="AM28" i="1" s="1"/>
  <c r="Z27" i="1"/>
  <c r="AM27" i="1" s="1"/>
  <c r="Z26" i="1"/>
  <c r="Z25" i="1"/>
  <c r="AM25" i="1" s="1"/>
  <c r="Z24" i="1"/>
  <c r="AM24" i="1" s="1"/>
  <c r="Z23" i="1"/>
  <c r="Z22" i="1"/>
  <c r="P22" i="1" s="1"/>
  <c r="Y22" i="1" s="1"/>
  <c r="Z21" i="1"/>
  <c r="AM21" i="1" s="1"/>
  <c r="Z20" i="1"/>
  <c r="Z19" i="1"/>
  <c r="AM19" i="1" s="1"/>
  <c r="Z18" i="1"/>
  <c r="AM18" i="1" s="1"/>
  <c r="Z17" i="1"/>
  <c r="Z16" i="1"/>
  <c r="Z15" i="1"/>
  <c r="AM15" i="1" s="1"/>
  <c r="Z14" i="1"/>
  <c r="Z13" i="1"/>
  <c r="AM13" i="1" s="1"/>
  <c r="Z12" i="1"/>
  <c r="Z11" i="1"/>
  <c r="AE11" i="1" s="1"/>
  <c r="Z10" i="1"/>
  <c r="AE10" i="1" s="1"/>
  <c r="Z9" i="1"/>
  <c r="AE9" i="1" s="1"/>
  <c r="Z8" i="1"/>
  <c r="Z7" i="1"/>
  <c r="Z6" i="1"/>
  <c r="AF6" i="1" s="1"/>
  <c r="Z5" i="1"/>
  <c r="AM5" i="1" s="1"/>
  <c r="Z4" i="1"/>
  <c r="AM4" i="1" s="1"/>
  <c r="Z3" i="1"/>
  <c r="P3" i="1" s="1"/>
  <c r="Y3" i="1" s="1"/>
  <c r="AZ5" i="1"/>
  <c r="AY5" i="1"/>
  <c r="AX5" i="1"/>
  <c r="AW5" i="1"/>
  <c r="W5" i="1"/>
  <c r="U3" i="2"/>
  <c r="Y3" i="2" s="1"/>
  <c r="F3" i="2" s="1"/>
  <c r="O3" i="2"/>
  <c r="P3" i="2" s="1"/>
  <c r="AZ4" i="1"/>
  <c r="AY4" i="1"/>
  <c r="AX4" i="1"/>
  <c r="AW4" i="1"/>
  <c r="W4" i="1"/>
  <c r="W3" i="1"/>
  <c r="U2" i="2"/>
  <c r="Y2" i="2" s="1"/>
  <c r="O2" i="2"/>
  <c r="P2" i="2" s="1"/>
  <c r="E4" i="5"/>
  <c r="F7" i="2" l="1"/>
  <c r="W7" i="2"/>
  <c r="X7" i="2"/>
  <c r="Y7" i="2"/>
  <c r="V7" i="2"/>
  <c r="D11" i="2"/>
  <c r="W11" i="2"/>
  <c r="X11" i="2"/>
  <c r="Y11" i="2"/>
  <c r="V11" i="2"/>
  <c r="C15" i="2"/>
  <c r="W15" i="2"/>
  <c r="X15" i="2"/>
  <c r="Y15" i="2"/>
  <c r="V15" i="2"/>
  <c r="C19" i="2"/>
  <c r="W19" i="2"/>
  <c r="X19" i="2"/>
  <c r="Y19" i="2"/>
  <c r="V19" i="2"/>
  <c r="C23" i="2"/>
  <c r="W23" i="2"/>
  <c r="X23" i="2"/>
  <c r="Y23" i="2"/>
  <c r="V23" i="2"/>
  <c r="C27" i="2"/>
  <c r="W27" i="2"/>
  <c r="X27" i="2"/>
  <c r="Y27" i="2"/>
  <c r="V27" i="2"/>
  <c r="C31" i="2"/>
  <c r="W31" i="2"/>
  <c r="X31" i="2"/>
  <c r="Y31" i="2"/>
  <c r="V31" i="2"/>
  <c r="C35" i="2"/>
  <c r="W35" i="2"/>
  <c r="X35" i="2"/>
  <c r="Y35" i="2"/>
  <c r="V35" i="2"/>
  <c r="C39" i="2"/>
  <c r="W39" i="2"/>
  <c r="X39" i="2"/>
  <c r="Y39" i="2"/>
  <c r="V39" i="2"/>
  <c r="C43" i="2"/>
  <c r="W43" i="2"/>
  <c r="X43" i="2"/>
  <c r="Y43" i="2"/>
  <c r="V43" i="2"/>
  <c r="C47" i="2"/>
  <c r="W47" i="2"/>
  <c r="X47" i="2"/>
  <c r="Y47" i="2"/>
  <c r="V47" i="2"/>
  <c r="C51" i="2"/>
  <c r="W51" i="2"/>
  <c r="X51" i="2"/>
  <c r="Y51" i="2"/>
  <c r="V51" i="2"/>
  <c r="F12" i="2"/>
  <c r="W12" i="2"/>
  <c r="X12" i="2"/>
  <c r="Y12" i="2"/>
  <c r="V12" i="2"/>
  <c r="F16" i="2"/>
  <c r="W16" i="2"/>
  <c r="X16" i="2"/>
  <c r="Y16" i="2"/>
  <c r="V16" i="2"/>
  <c r="F20" i="2"/>
  <c r="W20" i="2"/>
  <c r="X20" i="2"/>
  <c r="Y20" i="2"/>
  <c r="V20" i="2"/>
  <c r="F24" i="2"/>
  <c r="W24" i="2"/>
  <c r="X24" i="2"/>
  <c r="Y24" i="2"/>
  <c r="V24" i="2"/>
  <c r="F28" i="2"/>
  <c r="W28" i="2"/>
  <c r="X28" i="2"/>
  <c r="Y28" i="2"/>
  <c r="V28" i="2"/>
  <c r="F32" i="2"/>
  <c r="W32" i="2"/>
  <c r="X32" i="2"/>
  <c r="Y32" i="2"/>
  <c r="V32" i="2"/>
  <c r="F36" i="2"/>
  <c r="W36" i="2"/>
  <c r="X36" i="2"/>
  <c r="Y36" i="2"/>
  <c r="V36" i="2"/>
  <c r="F40" i="2"/>
  <c r="W40" i="2"/>
  <c r="X40" i="2"/>
  <c r="Y40" i="2"/>
  <c r="V40" i="2"/>
  <c r="F44" i="2"/>
  <c r="W44" i="2"/>
  <c r="X44" i="2"/>
  <c r="Y44" i="2"/>
  <c r="V44" i="2"/>
  <c r="F48" i="2"/>
  <c r="W48" i="2"/>
  <c r="X48" i="2"/>
  <c r="Y48" i="2"/>
  <c r="V48" i="2"/>
  <c r="F52" i="2"/>
  <c r="X52" i="2"/>
  <c r="Y52" i="2"/>
  <c r="V52" i="2"/>
  <c r="W52" i="2"/>
  <c r="F5" i="2"/>
  <c r="V5" i="2"/>
  <c r="W5" i="2"/>
  <c r="X5" i="2"/>
  <c r="F9" i="2"/>
  <c r="W9" i="2"/>
  <c r="D9" i="2" s="1"/>
  <c r="X9" i="2"/>
  <c r="E9" i="2" s="1"/>
  <c r="Y9" i="2"/>
  <c r="V9" i="2"/>
  <c r="C9" i="2" s="1"/>
  <c r="D17" i="2"/>
  <c r="W17" i="2"/>
  <c r="X17" i="2"/>
  <c r="Y17" i="2"/>
  <c r="V17" i="2"/>
  <c r="C21" i="2"/>
  <c r="W21" i="2"/>
  <c r="X21" i="2"/>
  <c r="Y21" i="2"/>
  <c r="V21" i="2"/>
  <c r="D25" i="2"/>
  <c r="W25" i="2"/>
  <c r="X25" i="2"/>
  <c r="Y25" i="2"/>
  <c r="V25" i="2"/>
  <c r="C29" i="2"/>
  <c r="W29" i="2"/>
  <c r="X29" i="2"/>
  <c r="Y29" i="2"/>
  <c r="V29" i="2"/>
  <c r="D33" i="2"/>
  <c r="W33" i="2"/>
  <c r="X33" i="2"/>
  <c r="Y33" i="2"/>
  <c r="V33" i="2"/>
  <c r="C37" i="2"/>
  <c r="W37" i="2"/>
  <c r="X37" i="2"/>
  <c r="Y37" i="2"/>
  <c r="V37" i="2"/>
  <c r="D41" i="2"/>
  <c r="W41" i="2"/>
  <c r="X41" i="2"/>
  <c r="Y41" i="2"/>
  <c r="V41" i="2"/>
  <c r="C45" i="2"/>
  <c r="W45" i="2"/>
  <c r="X45" i="2"/>
  <c r="Y45" i="2"/>
  <c r="V45" i="2"/>
  <c r="D49" i="2"/>
  <c r="W49" i="2"/>
  <c r="X49" i="2"/>
  <c r="Y49" i="2"/>
  <c r="V49" i="2"/>
  <c r="C53" i="2"/>
  <c r="X53" i="2"/>
  <c r="Y53" i="2"/>
  <c r="W53" i="2"/>
  <c r="V53" i="2"/>
  <c r="F6" i="2"/>
  <c r="W6" i="2"/>
  <c r="X6" i="2"/>
  <c r="Y6" i="2"/>
  <c r="V6" i="2"/>
  <c r="E18" i="2"/>
  <c r="W18" i="2"/>
  <c r="X18" i="2"/>
  <c r="Y18" i="2"/>
  <c r="V18" i="2"/>
  <c r="F22" i="2"/>
  <c r="W22" i="2"/>
  <c r="X22" i="2"/>
  <c r="Y22" i="2"/>
  <c r="V22" i="2"/>
  <c r="E26" i="2"/>
  <c r="W26" i="2"/>
  <c r="X26" i="2"/>
  <c r="Y26" i="2"/>
  <c r="V26" i="2"/>
  <c r="F30" i="2"/>
  <c r="W30" i="2"/>
  <c r="X30" i="2"/>
  <c r="Y30" i="2"/>
  <c r="V30" i="2"/>
  <c r="E34" i="2"/>
  <c r="W34" i="2"/>
  <c r="X34" i="2"/>
  <c r="Y34" i="2"/>
  <c r="V34" i="2"/>
  <c r="F38" i="2"/>
  <c r="W38" i="2"/>
  <c r="X38" i="2"/>
  <c r="Y38" i="2"/>
  <c r="V38" i="2"/>
  <c r="E42" i="2"/>
  <c r="W42" i="2"/>
  <c r="X42" i="2"/>
  <c r="Y42" i="2"/>
  <c r="V42" i="2"/>
  <c r="F46" i="2"/>
  <c r="W46" i="2"/>
  <c r="X46" i="2"/>
  <c r="Y46" i="2"/>
  <c r="V46" i="2"/>
  <c r="E50" i="2"/>
  <c r="X50" i="2"/>
  <c r="W50" i="2"/>
  <c r="Y50" i="2"/>
  <c r="V50" i="2"/>
  <c r="C13" i="2"/>
  <c r="W13" i="2"/>
  <c r="X13" i="2"/>
  <c r="V13" i="2"/>
  <c r="Y13" i="2"/>
  <c r="V14" i="2"/>
  <c r="C14" i="2" s="1"/>
  <c r="W14" i="2"/>
  <c r="D14" i="2" s="1"/>
  <c r="X14" i="2"/>
  <c r="E14" i="2" s="1"/>
  <c r="Y14" i="2"/>
  <c r="F14" i="2" s="1"/>
  <c r="F10" i="2"/>
  <c r="W10" i="2"/>
  <c r="D10" i="2" s="1"/>
  <c r="X10" i="2"/>
  <c r="E10" i="2" s="1"/>
  <c r="V10" i="2"/>
  <c r="C10" i="2" s="1"/>
  <c r="V3" i="2"/>
  <c r="C3" i="2" s="1"/>
  <c r="X3" i="2"/>
  <c r="E3" i="2" s="1"/>
  <c r="W3" i="2"/>
  <c r="D3" i="2" s="1"/>
  <c r="V4" i="2"/>
  <c r="W4" i="2"/>
  <c r="D4" i="2" s="1"/>
  <c r="X4" i="2"/>
  <c r="E4" i="2" s="1"/>
  <c r="Y4" i="2"/>
  <c r="F4" i="2" s="1"/>
  <c r="X8" i="2"/>
  <c r="E8" i="2" s="1"/>
  <c r="Y8" i="2"/>
  <c r="F8" i="2" s="1"/>
  <c r="W8" i="2"/>
  <c r="D8" i="2" s="1"/>
  <c r="V8" i="2"/>
  <c r="C8" i="2" s="1"/>
  <c r="F2" i="2"/>
  <c r="V2" i="2"/>
  <c r="C2" i="2" s="1"/>
  <c r="W2" i="2"/>
  <c r="D2" i="2" s="1"/>
  <c r="X2" i="2"/>
  <c r="E2" i="2" s="1"/>
  <c r="D23" i="2"/>
  <c r="D43" i="2"/>
  <c r="F27" i="2"/>
  <c r="F43" i="2"/>
  <c r="D31" i="2"/>
  <c r="F31" i="2"/>
  <c r="D51" i="2"/>
  <c r="C7" i="2"/>
  <c r="C34" i="2"/>
  <c r="F51" i="2"/>
  <c r="D21" i="2"/>
  <c r="D27" i="2"/>
  <c r="F33" i="2"/>
  <c r="C38" i="2"/>
  <c r="C44" i="2"/>
  <c r="F50" i="2"/>
  <c r="D29" i="2"/>
  <c r="D35" i="2"/>
  <c r="F41" i="2"/>
  <c r="C46" i="2"/>
  <c r="C52" i="2"/>
  <c r="C28" i="2"/>
  <c r="F18" i="2"/>
  <c r="F23" i="2"/>
  <c r="F29" i="2"/>
  <c r="F35" i="2"/>
  <c r="C42" i="2"/>
  <c r="D47" i="2"/>
  <c r="D53" i="2"/>
  <c r="F45" i="2"/>
  <c r="D19" i="2"/>
  <c r="F25" i="2"/>
  <c r="C30" i="2"/>
  <c r="C36" i="2"/>
  <c r="F42" i="2"/>
  <c r="F47" i="2"/>
  <c r="F53" i="2"/>
  <c r="C26" i="2"/>
  <c r="D37" i="2"/>
  <c r="F49" i="2"/>
  <c r="C20" i="2"/>
  <c r="F26" i="2"/>
  <c r="F37" i="2"/>
  <c r="C50" i="2"/>
  <c r="P24" i="1"/>
  <c r="Y24" i="1" s="1"/>
  <c r="P30" i="1"/>
  <c r="Y30" i="1" s="1"/>
  <c r="P32" i="1"/>
  <c r="Y32" i="1" s="1"/>
  <c r="P31" i="1"/>
  <c r="Y31" i="1" s="1"/>
  <c r="C18" i="2"/>
  <c r="F17" i="2"/>
  <c r="AM29" i="1"/>
  <c r="P29" i="1"/>
  <c r="Y29" i="1" s="1"/>
  <c r="P28" i="1"/>
  <c r="Y28" i="1" s="1"/>
  <c r="D15" i="2"/>
  <c r="F15" i="2"/>
  <c r="AM26" i="1"/>
  <c r="P27" i="1"/>
  <c r="Y27" i="1" s="1"/>
  <c r="P26" i="1"/>
  <c r="Y26" i="1" s="1"/>
  <c r="AM23" i="1"/>
  <c r="P25" i="1"/>
  <c r="Y25" i="1" s="1"/>
  <c r="P23" i="1"/>
  <c r="Y23" i="1" s="1"/>
  <c r="D13" i="2"/>
  <c r="F13" i="2"/>
  <c r="E7" i="2"/>
  <c r="E13" i="2"/>
  <c r="E15" i="2"/>
  <c r="E17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C48" i="2"/>
  <c r="C16" i="2"/>
  <c r="C2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C32" i="2"/>
  <c r="C40" i="2"/>
  <c r="E16" i="2"/>
  <c r="E20" i="2"/>
  <c r="E22" i="2"/>
  <c r="E24" i="2"/>
  <c r="E28" i="2"/>
  <c r="E30" i="2"/>
  <c r="E32" i="2"/>
  <c r="E36" i="2"/>
  <c r="E38" i="2"/>
  <c r="E40" i="2"/>
  <c r="E44" i="2"/>
  <c r="E46" i="2"/>
  <c r="E48" i="2"/>
  <c r="E52" i="2"/>
  <c r="C17" i="2"/>
  <c r="C25" i="2"/>
  <c r="C33" i="2"/>
  <c r="C41" i="2"/>
  <c r="C49" i="2"/>
  <c r="AM22" i="1"/>
  <c r="E11" i="2"/>
  <c r="F11" i="2"/>
  <c r="C12" i="2"/>
  <c r="D12" i="2"/>
  <c r="E12" i="2"/>
  <c r="C11" i="2"/>
  <c r="P21" i="1"/>
  <c r="Y21" i="1" s="1"/>
  <c r="AM20" i="1"/>
  <c r="P20" i="1"/>
  <c r="Y20" i="1" s="1"/>
  <c r="P19" i="1"/>
  <c r="Y19" i="1" s="1"/>
  <c r="P18" i="1"/>
  <c r="Y18" i="1" s="1"/>
  <c r="AM17" i="1"/>
  <c r="AM16" i="1"/>
  <c r="AE24" i="1"/>
  <c r="AE27" i="1"/>
  <c r="AE19" i="1"/>
  <c r="AE25" i="1"/>
  <c r="AF13" i="1"/>
  <c r="AE31" i="1"/>
  <c r="AE21" i="1"/>
  <c r="AE23" i="1"/>
  <c r="AE13" i="1"/>
  <c r="AE29" i="1"/>
  <c r="AF17" i="1"/>
  <c r="AF21" i="1"/>
  <c r="AF24" i="1"/>
  <c r="AF31" i="1"/>
  <c r="AG31" i="1" s="1"/>
  <c r="AQ10" i="1"/>
  <c r="AR10" i="1"/>
  <c r="AR26" i="1"/>
  <c r="AQ26" i="1"/>
  <c r="AR11" i="1"/>
  <c r="AQ11" i="1"/>
  <c r="AQ19" i="1"/>
  <c r="AR19" i="1"/>
  <c r="AQ27" i="1"/>
  <c r="AR27" i="1"/>
  <c r="AR3" i="1"/>
  <c r="AQ3" i="1"/>
  <c r="P7" i="1"/>
  <c r="Y7" i="1" s="1"/>
  <c r="AM7" i="1"/>
  <c r="AF19" i="1"/>
  <c r="AF22" i="1"/>
  <c r="AF25" i="1"/>
  <c r="AF28" i="1"/>
  <c r="AR4" i="1"/>
  <c r="AQ4" i="1"/>
  <c r="AR12" i="1"/>
  <c r="AQ12" i="1"/>
  <c r="AR20" i="1"/>
  <c r="AQ20" i="1"/>
  <c r="AR28" i="1"/>
  <c r="AQ28" i="1"/>
  <c r="AR9" i="1"/>
  <c r="AQ9" i="1"/>
  <c r="P14" i="1"/>
  <c r="Y14" i="1" s="1"/>
  <c r="AM14" i="1"/>
  <c r="P8" i="1"/>
  <c r="Y8" i="1" s="1"/>
  <c r="AM8" i="1"/>
  <c r="AR5" i="1"/>
  <c r="AQ5" i="1"/>
  <c r="AR13" i="1"/>
  <c r="AQ13" i="1"/>
  <c r="AQ21" i="1"/>
  <c r="AR21" i="1"/>
  <c r="AQ29" i="1"/>
  <c r="AR29" i="1"/>
  <c r="AR25" i="1"/>
  <c r="AQ25" i="1"/>
  <c r="P6" i="1"/>
  <c r="Y6" i="1" s="1"/>
  <c r="AM6" i="1"/>
  <c r="AE26" i="1"/>
  <c r="AE32" i="1"/>
  <c r="AF9" i="1"/>
  <c r="AG9" i="1" s="1"/>
  <c r="AM9" i="1"/>
  <c r="AF23" i="1"/>
  <c r="AF26" i="1"/>
  <c r="AF29" i="1"/>
  <c r="AF32" i="1"/>
  <c r="AQ6" i="1"/>
  <c r="AR6" i="1"/>
  <c r="AQ14" i="1"/>
  <c r="AR14" i="1"/>
  <c r="AR22" i="1"/>
  <c r="AQ22" i="1"/>
  <c r="AR30" i="1"/>
  <c r="AQ30" i="1"/>
  <c r="P4" i="1"/>
  <c r="Y4" i="1" s="1"/>
  <c r="AF12" i="1"/>
  <c r="AM12" i="1"/>
  <c r="AR17" i="1"/>
  <c r="AQ17" i="1"/>
  <c r="AE28" i="1"/>
  <c r="P10" i="1"/>
  <c r="Y10" i="1" s="1"/>
  <c r="AM10" i="1"/>
  <c r="AE20" i="1"/>
  <c r="AE30" i="1"/>
  <c r="AR7" i="1"/>
  <c r="AQ7" i="1"/>
  <c r="AR15" i="1"/>
  <c r="AQ15" i="1"/>
  <c r="AQ23" i="1"/>
  <c r="AR23" i="1"/>
  <c r="AQ31" i="1"/>
  <c r="AR31" i="1"/>
  <c r="P5" i="1"/>
  <c r="Y5" i="1" s="1"/>
  <c r="AE22" i="1"/>
  <c r="AF3" i="1"/>
  <c r="AM3" i="1"/>
  <c r="P11" i="1"/>
  <c r="Y11" i="1" s="1"/>
  <c r="AM11" i="1"/>
  <c r="AF20" i="1"/>
  <c r="AF27" i="1"/>
  <c r="AF30" i="1"/>
  <c r="AQ8" i="1"/>
  <c r="AR8" i="1"/>
  <c r="AQ16" i="1"/>
  <c r="AR16" i="1"/>
  <c r="AR24" i="1"/>
  <c r="AQ24" i="1"/>
  <c r="AR32" i="1"/>
  <c r="AQ32" i="1"/>
  <c r="P13" i="1"/>
  <c r="Y13" i="1" s="1"/>
  <c r="AE18" i="1"/>
  <c r="AF18" i="1"/>
  <c r="AR18" i="1"/>
  <c r="AQ18" i="1"/>
  <c r="P17" i="1"/>
  <c r="AE17" i="1"/>
  <c r="P16" i="1"/>
  <c r="Y16" i="1" s="1"/>
  <c r="AE16" i="1"/>
  <c r="AF16" i="1"/>
  <c r="P15" i="1"/>
  <c r="AE15" i="1"/>
  <c r="AF15" i="1"/>
  <c r="D5" i="2"/>
  <c r="AE14" i="1"/>
  <c r="AF14" i="1"/>
  <c r="AE12" i="1"/>
  <c r="P12" i="1"/>
  <c r="Y12" i="1" s="1"/>
  <c r="AF11" i="1"/>
  <c r="AH11" i="1" s="1"/>
  <c r="AF10" i="1"/>
  <c r="AG10" i="1" s="1"/>
  <c r="D7" i="2"/>
  <c r="AH9" i="1"/>
  <c r="P9" i="1"/>
  <c r="AE8" i="1"/>
  <c r="AF8" i="1"/>
  <c r="C6" i="2"/>
  <c r="D6" i="2"/>
  <c r="E6" i="2"/>
  <c r="C5" i="2"/>
  <c r="E5" i="2"/>
  <c r="AE7" i="1"/>
  <c r="AF7" i="1"/>
  <c r="AE6" i="1"/>
  <c r="AH6" i="1" s="1"/>
  <c r="AF5" i="1"/>
  <c r="AE5" i="1"/>
  <c r="AF4" i="1"/>
  <c r="AE3" i="1"/>
  <c r="AE4" i="1"/>
  <c r="AG17" i="1" l="1"/>
  <c r="C4" i="2"/>
  <c r="AH13" i="1"/>
  <c r="AG21" i="1"/>
  <c r="AG29" i="1"/>
  <c r="AG30" i="1"/>
  <c r="AH29" i="1"/>
  <c r="AG27" i="1"/>
  <c r="L21" i="1"/>
  <c r="AH25" i="1"/>
  <c r="AG13" i="1"/>
  <c r="M31" i="1"/>
  <c r="L31" i="1"/>
  <c r="N29" i="1"/>
  <c r="L20" i="1"/>
  <c r="M19" i="1"/>
  <c r="N18" i="1"/>
  <c r="M23" i="1"/>
  <c r="M20" i="1"/>
  <c r="L32" i="1"/>
  <c r="O23" i="1"/>
  <c r="L18" i="1"/>
  <c r="M24" i="1"/>
  <c r="L23" i="1"/>
  <c r="L26" i="1"/>
  <c r="N26" i="1"/>
  <c r="O18" i="1"/>
  <c r="N32" i="1"/>
  <c r="O32" i="1"/>
  <c r="M32" i="1"/>
  <c r="AG25" i="1"/>
  <c r="L22" i="1"/>
  <c r="O25" i="1"/>
  <c r="N28" i="1"/>
  <c r="N27" i="1"/>
  <c r="AH24" i="1"/>
  <c r="O26" i="1"/>
  <c r="M27" i="1"/>
  <c r="O22" i="1"/>
  <c r="N23" i="1"/>
  <c r="L28" i="1"/>
  <c r="M25" i="1"/>
  <c r="O28" i="1"/>
  <c r="AG28" i="1"/>
  <c r="M30" i="1"/>
  <c r="M22" i="1"/>
  <c r="AH23" i="1"/>
  <c r="O27" i="1"/>
  <c r="M28" i="1"/>
  <c r="L27" i="1"/>
  <c r="L25" i="1"/>
  <c r="L29" i="1"/>
  <c r="AH19" i="1"/>
  <c r="L19" i="1"/>
  <c r="N25" i="1"/>
  <c r="O24" i="1"/>
  <c r="N31" i="1"/>
  <c r="AG20" i="1"/>
  <c r="AG12" i="1"/>
  <c r="AG32" i="1"/>
  <c r="AH21" i="1"/>
  <c r="AH3" i="1"/>
  <c r="L11" i="1"/>
  <c r="L24" i="1"/>
  <c r="O31" i="1"/>
  <c r="AH26" i="1"/>
  <c r="N22" i="1"/>
  <c r="N24" i="1"/>
  <c r="M26" i="1"/>
  <c r="AH12" i="1"/>
  <c r="AG19" i="1"/>
  <c r="O21" i="1"/>
  <c r="L14" i="1"/>
  <c r="AG14" i="1"/>
  <c r="N20" i="1"/>
  <c r="O20" i="1"/>
  <c r="M13" i="1"/>
  <c r="AH22" i="1"/>
  <c r="O29" i="1"/>
  <c r="M29" i="1"/>
  <c r="M18" i="1"/>
  <c r="AH17" i="1"/>
  <c r="O30" i="1"/>
  <c r="M21" i="1"/>
  <c r="L30" i="1"/>
  <c r="AG26" i="1"/>
  <c r="AH30" i="1"/>
  <c r="N30" i="1"/>
  <c r="O19" i="1"/>
  <c r="N21" i="1"/>
  <c r="Y9" i="1"/>
  <c r="M9" i="1" s="1"/>
  <c r="Y17" i="1"/>
  <c r="N17" i="1" s="1"/>
  <c r="AG23" i="1"/>
  <c r="AH31" i="1"/>
  <c r="AH27" i="1"/>
  <c r="Y15" i="1"/>
  <c r="O15" i="1" s="1"/>
  <c r="AH20" i="1"/>
  <c r="AH32" i="1"/>
  <c r="AH28" i="1"/>
  <c r="AG24" i="1"/>
  <c r="N19" i="1"/>
  <c r="AG3" i="1"/>
  <c r="AG18" i="1"/>
  <c r="AG22" i="1"/>
  <c r="AH18" i="1"/>
  <c r="N16" i="1"/>
  <c r="M16" i="1"/>
  <c r="L16" i="1"/>
  <c r="O16" i="1"/>
  <c r="AH16" i="1"/>
  <c r="AG16" i="1"/>
  <c r="AH15" i="1"/>
  <c r="AG15" i="1"/>
  <c r="O13" i="1"/>
  <c r="N11" i="1"/>
  <c r="O11" i="1"/>
  <c r="L13" i="1"/>
  <c r="N13" i="1"/>
  <c r="O14" i="1"/>
  <c r="AG11" i="1"/>
  <c r="M14" i="1"/>
  <c r="N14" i="1"/>
  <c r="AH14" i="1"/>
  <c r="M12" i="1"/>
  <c r="N12" i="1"/>
  <c r="O12" i="1"/>
  <c r="L12" i="1"/>
  <c r="M11" i="1"/>
  <c r="O10" i="1"/>
  <c r="AH10" i="1"/>
  <c r="M10" i="1"/>
  <c r="N10" i="1"/>
  <c r="L10" i="1"/>
  <c r="N8" i="1"/>
  <c r="AG8" i="1"/>
  <c r="M8" i="1"/>
  <c r="O8" i="1"/>
  <c r="L8" i="1"/>
  <c r="AH8" i="1"/>
  <c r="O6" i="1"/>
  <c r="O7" i="1"/>
  <c r="AH7" i="1"/>
  <c r="AG7" i="1"/>
  <c r="O4" i="1"/>
  <c r="M7" i="1"/>
  <c r="L7" i="1"/>
  <c r="N7" i="1"/>
  <c r="AG6" i="1"/>
  <c r="L6" i="1"/>
  <c r="M6" i="1"/>
  <c r="N6" i="1"/>
  <c r="O5" i="1"/>
  <c r="N5" i="1"/>
  <c r="M5" i="1"/>
  <c r="L5" i="1"/>
  <c r="AH5" i="1"/>
  <c r="AG5" i="1"/>
  <c r="AH4" i="1"/>
  <c r="AG4" i="1"/>
  <c r="M4" i="1"/>
  <c r="N4" i="1"/>
  <c r="L4" i="1"/>
  <c r="L3" i="1"/>
  <c r="N3" i="1"/>
  <c r="O3" i="1"/>
  <c r="M3" i="1"/>
  <c r="N9" i="1" l="1"/>
  <c r="L17" i="1"/>
  <c r="O9" i="1"/>
  <c r="L9" i="1"/>
  <c r="O17" i="1"/>
  <c r="L15" i="1"/>
  <c r="N15" i="1"/>
  <c r="M17" i="1"/>
  <c r="M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G17" authorId="0" shapeId="0" xr:uid="{00000000-0006-0000-0500-000001000000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"Más" Kategóriában csak az utolsó oszlpban vannak adatok </t>
        </r>
      </text>
    </comment>
  </commentList>
</comments>
</file>

<file path=xl/sharedStrings.xml><?xml version="1.0" encoding="utf-8"?>
<sst xmlns="http://schemas.openxmlformats.org/spreadsheetml/2006/main" count="304" uniqueCount="169">
  <si>
    <t>ssz.</t>
  </si>
  <si>
    <t>név</t>
  </si>
  <si>
    <t>telephely</t>
  </si>
  <si>
    <t>rendszer</t>
  </si>
  <si>
    <t>technológia</t>
  </si>
  <si>
    <t>"tüzelőanyag"</t>
  </si>
  <si>
    <t>önfogyasztással csökkentendő?</t>
  </si>
  <si>
    <t>Energiahordozó</t>
  </si>
  <si>
    <t>Villamos energia – országos hálózatból</t>
  </si>
  <si>
    <t>Villamos energia – helyi PV termelés</t>
  </si>
  <si>
    <t>Tüzelőolaj</t>
  </si>
  <si>
    <t>Fűtőolaj</t>
  </si>
  <si>
    <t>Földgáz</t>
  </si>
  <si>
    <t>Nukleáris energia</t>
  </si>
  <si>
    <t>Települési szilárd hulladék</t>
  </si>
  <si>
    <t>Biomassza (faapríték, szalma)</t>
  </si>
  <si>
    <t>Biodiesel-olaj, bioetanol</t>
  </si>
  <si>
    <t>Biogáz, biometán</t>
  </si>
  <si>
    <t>Hulladékhő</t>
  </si>
  <si>
    <t>Napenergia - hőhasznosítés</t>
  </si>
  <si>
    <t>Környezeti hő – aero- és hidrotermikus</t>
  </si>
  <si>
    <t>Környezeti hő – geotermikus energia</t>
  </si>
  <si>
    <t>Hőszivattyú?</t>
  </si>
  <si>
    <t>ref.hatásfok</t>
  </si>
  <si>
    <t>Kapcsolt energiatermelés kombinált ciklusú erőművi blokkban</t>
  </si>
  <si>
    <t>Kapcsolt energiatermelés hagyományos gőz-körfolyamatú erőművi blokkban</t>
  </si>
  <si>
    <t>Kapcsolt energiatermelés hőhasznosító kazánnal ellátott gázturbinás erőműben</t>
  </si>
  <si>
    <t>Hőtermelési technológiák</t>
  </si>
  <si>
    <t>s</t>
  </si>
  <si>
    <t>SCOP</t>
  </si>
  <si>
    <t>qönf</t>
  </si>
  <si>
    <t>h</t>
  </si>
  <si>
    <t>Rendszer neve</t>
  </si>
  <si>
    <t>telephely megnevezése</t>
  </si>
  <si>
    <t>távhőrendszer</t>
  </si>
  <si>
    <t>Abszolút hő-önfogyasztás (Qönf [GJ])</t>
  </si>
  <si>
    <t>qönf szám.</t>
  </si>
  <si>
    <t>Q (kWh/év)</t>
  </si>
  <si>
    <t>Szén (kőszén)</t>
  </si>
  <si>
    <t>Szén (lignit)</t>
  </si>
  <si>
    <r>
      <t>α</t>
    </r>
    <r>
      <rPr>
        <vertAlign val="subscript"/>
        <sz val="11"/>
        <color theme="1"/>
        <rFont val="Calibri"/>
        <family val="2"/>
        <charset val="238"/>
        <scheme val="minor"/>
      </rPr>
      <t>vill</t>
    </r>
    <r>
      <rPr>
        <sz val="11"/>
        <color theme="1"/>
        <rFont val="Calibri"/>
        <family val="2"/>
        <charset val="238"/>
        <scheme val="minor"/>
      </rPr>
      <t xml:space="preserve"> (kWh/kWh)</t>
    </r>
  </si>
  <si>
    <r>
      <t>α</t>
    </r>
    <r>
      <rPr>
        <vertAlign val="subscript"/>
        <sz val="14"/>
        <color theme="1"/>
        <rFont val="Calibri"/>
        <family val="2"/>
        <charset val="238"/>
        <scheme val="minor"/>
      </rPr>
      <t>vill</t>
    </r>
    <r>
      <rPr>
        <sz val="14"/>
        <color theme="1"/>
        <rFont val="Calibri"/>
        <family val="2"/>
        <charset val="238"/>
        <scheme val="minor"/>
      </rPr>
      <t xml:space="preserve"> (kWh/kWh)</t>
    </r>
  </si>
  <si>
    <r>
      <t>g</t>
    </r>
    <r>
      <rPr>
        <vertAlign val="subscript"/>
        <sz val="14"/>
        <color theme="1"/>
        <rFont val="Calibri"/>
        <family val="2"/>
        <charset val="238"/>
        <scheme val="minor"/>
      </rPr>
      <t>i</t>
    </r>
  </si>
  <si>
    <r>
      <t>f</t>
    </r>
    <r>
      <rPr>
        <vertAlign val="subscript"/>
        <sz val="11"/>
        <color rgb="FF000000"/>
        <rFont val="Arial"/>
        <family val="2"/>
        <charset val="238"/>
      </rPr>
      <t>nren</t>
    </r>
  </si>
  <si>
    <r>
      <t>f</t>
    </r>
    <r>
      <rPr>
        <vertAlign val="subscript"/>
        <sz val="11"/>
        <color rgb="FF000000"/>
        <rFont val="Arial"/>
        <family val="2"/>
        <charset val="238"/>
      </rPr>
      <t>ren</t>
    </r>
  </si>
  <si>
    <r>
      <t>f</t>
    </r>
    <r>
      <rPr>
        <i/>
        <vertAlign val="subscript"/>
        <sz val="11"/>
        <color rgb="FF000000"/>
        <rFont val="Arial"/>
        <family val="2"/>
        <charset val="238"/>
      </rPr>
      <t>tot</t>
    </r>
  </si>
  <si>
    <r>
      <t>f</t>
    </r>
    <r>
      <rPr>
        <vertAlign val="subscript"/>
        <sz val="11"/>
        <color rgb="FF000000"/>
        <rFont val="Arial"/>
        <family val="2"/>
        <charset val="238"/>
      </rPr>
      <t>CO2eq</t>
    </r>
    <r>
      <rPr>
        <sz val="11"/>
        <color rgb="FF000000"/>
        <rFont val="Arial"/>
        <family val="2"/>
        <charset val="238"/>
      </rPr>
      <t xml:space="preserve"> (g/kW h)</t>
    </r>
  </si>
  <si>
    <t>Hőszivattyú</t>
  </si>
  <si>
    <t>kapcsolatan termelt hő</t>
  </si>
  <si>
    <t>Kapcsoltan termelt vill. Energ. [MWh]</t>
  </si>
  <si>
    <t xml:space="preserve">Tüzelőanyag-felhasználás </t>
  </si>
  <si>
    <t>Tüzelőanyag-felhasználás mértékegység</t>
  </si>
  <si>
    <t>GJ</t>
  </si>
  <si>
    <t>MWh</t>
  </si>
  <si>
    <t xml:space="preserve">Közvetlen hőtermelés (villamos kazán) </t>
  </si>
  <si>
    <t>Kapcsolt termelés?</t>
  </si>
  <si>
    <r>
      <t xml:space="preserve">Kapcsolt energiatermelés </t>
    </r>
    <r>
      <rPr>
        <b/>
        <sz val="14"/>
        <color theme="1"/>
        <rFont val="Calibri"/>
        <family val="2"/>
        <charset val="238"/>
        <scheme val="minor"/>
      </rPr>
      <t>1200 kWe</t>
    </r>
    <r>
      <rPr>
        <sz val="14"/>
        <color theme="1"/>
        <rFont val="Calibri"/>
        <family val="2"/>
        <charset val="238"/>
        <scheme val="minor"/>
      </rPr>
      <t xml:space="preserve"> villamos egységteljesítményt </t>
    </r>
    <r>
      <rPr>
        <b/>
        <sz val="14"/>
        <color theme="1"/>
        <rFont val="Calibri"/>
        <family val="2"/>
        <charset val="238"/>
        <scheme val="minor"/>
      </rPr>
      <t>meghaladó</t>
    </r>
    <r>
      <rPr>
        <sz val="14"/>
        <color theme="1"/>
        <rFont val="Calibri"/>
        <family val="2"/>
        <charset val="238"/>
        <scheme val="minor"/>
      </rPr>
      <t xml:space="preserve"> gázmotorral</t>
    </r>
  </si>
  <si>
    <r>
      <t xml:space="preserve">Kapcsolt energiatermelés </t>
    </r>
    <r>
      <rPr>
        <b/>
        <sz val="14"/>
        <color theme="1"/>
        <rFont val="Calibri"/>
        <family val="2"/>
        <charset val="238"/>
        <scheme val="minor"/>
      </rPr>
      <t>1200 kWe</t>
    </r>
    <r>
      <rPr>
        <sz val="14"/>
        <color theme="1"/>
        <rFont val="Calibri"/>
        <family val="2"/>
        <charset val="238"/>
        <scheme val="minor"/>
      </rPr>
      <t xml:space="preserve"> villamos egységteljesítményt</t>
    </r>
    <r>
      <rPr>
        <b/>
        <sz val="14"/>
        <color theme="1"/>
        <rFont val="Calibri"/>
        <family val="2"/>
        <charset val="238"/>
        <scheme val="minor"/>
      </rPr>
      <t xml:space="preserve"> nem meghaladó</t>
    </r>
    <r>
      <rPr>
        <sz val="14"/>
        <color theme="1"/>
        <rFont val="Calibri"/>
        <family val="2"/>
        <charset val="238"/>
        <scheme val="minor"/>
      </rPr>
      <t xml:space="preserve"> gázmotorral</t>
    </r>
  </si>
  <si>
    <t>létesítés éve</t>
  </si>
  <si>
    <r>
      <t>h</t>
    </r>
    <r>
      <rPr>
        <i/>
        <vertAlign val="subscript"/>
        <sz val="14"/>
        <color theme="1"/>
        <rFont val="Calibri"/>
        <family val="2"/>
        <charset val="238"/>
        <scheme val="minor"/>
      </rPr>
      <t>en</t>
    </r>
  </si>
  <si>
    <t>környezeti energia fajtája</t>
  </si>
  <si>
    <t>termelt távhőmennyiség</t>
  </si>
  <si>
    <t>hőmennyiség egység</t>
  </si>
  <si>
    <t>Telephelyi kiadott hőmennyiség (Qki)</t>
  </si>
  <si>
    <r>
      <t xml:space="preserve">p </t>
    </r>
    <r>
      <rPr>
        <vertAlign val="subscript"/>
        <sz val="11"/>
        <color theme="1"/>
        <rFont val="Calibri"/>
        <family val="2"/>
        <charset val="238"/>
        <scheme val="minor"/>
      </rPr>
      <t>kapcsolt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</si>
  <si>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PV</t>
    </r>
  </si>
  <si>
    <t>egységenként összegzett kiadott hő</t>
  </si>
  <si>
    <t>kapcsoltan termelő egység</t>
  </si>
  <si>
    <r>
      <t>f</t>
    </r>
    <r>
      <rPr>
        <vertAlign val="subscript"/>
        <sz val="11"/>
        <color rgb="FF000000"/>
        <rFont val="Arial"/>
        <family val="2"/>
        <charset val="238"/>
      </rPr>
      <t>nren vill.</t>
    </r>
  </si>
  <si>
    <r>
      <t>f</t>
    </r>
    <r>
      <rPr>
        <vertAlign val="subscript"/>
        <sz val="11"/>
        <color rgb="FF000000"/>
        <rFont val="Arial"/>
        <family val="2"/>
        <charset val="238"/>
      </rPr>
      <t>ren vill</t>
    </r>
  </si>
  <si>
    <r>
      <t>f</t>
    </r>
    <r>
      <rPr>
        <i/>
        <vertAlign val="subscript"/>
        <sz val="11"/>
        <color rgb="FF000000"/>
        <rFont val="Arial"/>
        <family val="2"/>
        <charset val="238"/>
      </rPr>
      <t>tot vill.</t>
    </r>
  </si>
  <si>
    <r>
      <t>f</t>
    </r>
    <r>
      <rPr>
        <vertAlign val="subscript"/>
        <sz val="11"/>
        <color rgb="FF000000"/>
        <rFont val="Arial"/>
        <family val="2"/>
        <charset val="238"/>
      </rPr>
      <t>CO2eq vill.</t>
    </r>
    <r>
      <rPr>
        <sz val="11"/>
        <color rgb="FF000000"/>
        <rFont val="Arial"/>
        <family val="2"/>
        <charset val="238"/>
      </rPr>
      <t xml:space="preserve"> (g/kW h)</t>
    </r>
  </si>
  <si>
    <t>Nettó kiadott hő (Qki) MWh</t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</si>
  <si>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en számított</t>
    </r>
  </si>
  <si>
    <r>
      <rPr>
        <sz val="14"/>
        <color theme="1"/>
        <rFont val="Symbol"/>
        <family val="1"/>
        <charset val="2"/>
      </rPr>
      <t>s</t>
    </r>
    <r>
      <rPr>
        <vertAlign val="subscript"/>
        <sz val="14"/>
        <color theme="1"/>
        <rFont val="Calibri"/>
        <family val="2"/>
        <charset val="238"/>
        <scheme val="minor"/>
      </rPr>
      <t>számított</t>
    </r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</si>
  <si>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en táblázatos</t>
    </r>
  </si>
  <si>
    <r>
      <rPr>
        <sz val="14"/>
        <color theme="1"/>
        <rFont val="Symbol"/>
        <family val="1"/>
        <charset val="2"/>
      </rPr>
      <t>s</t>
    </r>
    <r>
      <rPr>
        <vertAlign val="subscript"/>
        <sz val="14"/>
        <color theme="1"/>
        <rFont val="Calibri"/>
        <family val="2"/>
        <charset val="238"/>
        <scheme val="minor"/>
      </rPr>
      <t>táblázatos</t>
    </r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</si>
  <si>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ref</t>
    </r>
  </si>
  <si>
    <r>
      <rPr>
        <sz val="14"/>
        <color theme="1"/>
        <rFont val="Symbol"/>
        <family val="1"/>
        <charset val="2"/>
      </rPr>
      <t>s</t>
    </r>
    <r>
      <rPr>
        <vertAlign val="subscript"/>
        <sz val="14"/>
        <color theme="1"/>
        <rFont val="Calibri"/>
        <family val="2"/>
        <charset val="238"/>
        <scheme val="minor"/>
      </rPr>
      <t>egyedi</t>
    </r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</si>
  <si>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en egyedi</t>
    </r>
  </si>
  <si>
    <r>
      <t>g</t>
    </r>
    <r>
      <rPr>
        <b/>
        <vertAlign val="subscript"/>
        <sz val="14"/>
        <color theme="1"/>
        <rFont val="Calibri"/>
        <family val="2"/>
        <charset val="238"/>
        <scheme val="minor"/>
      </rPr>
      <t>kt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</si>
  <si>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nren a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</si>
  <si>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ren a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</si>
  <si>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tot a</t>
    </r>
  </si>
  <si>
    <r>
      <t>f</t>
    </r>
    <r>
      <rPr>
        <vertAlign val="subscript"/>
        <sz val="14"/>
        <color theme="1"/>
        <rFont val="72"/>
        <family val="2"/>
        <charset val="238"/>
      </rPr>
      <t>CO2 a</t>
    </r>
  </si>
  <si>
    <t>Közvetlen termelés?</t>
  </si>
  <si>
    <t>Villamos kazán?</t>
  </si>
  <si>
    <t>kapcsolt termelő egység</t>
  </si>
  <si>
    <t>kazán bevitt energia</t>
  </si>
  <si>
    <t>kazán bevitt energia mért.egy.</t>
  </si>
  <si>
    <t>0 NEM</t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</si>
  <si>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kazán szám.</t>
    </r>
  </si>
  <si>
    <t>vill. kaz. eset</t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</si>
  <si>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kazán</t>
    </r>
  </si>
  <si>
    <r>
      <rPr>
        <sz val="14"/>
        <color theme="1"/>
        <rFont val="Symbol"/>
        <family val="1"/>
        <charset val="2"/>
      </rPr>
      <t>h</t>
    </r>
    <r>
      <rPr>
        <vertAlign val="subscript"/>
        <sz val="14"/>
        <color theme="1"/>
        <rFont val="Calibri"/>
        <family val="2"/>
        <charset val="238"/>
        <scheme val="minor"/>
      </rPr>
      <t>ref.kt.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</si>
  <si>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ren "tü.a."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</si>
  <si>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tot "tü.a."</t>
    </r>
  </si>
  <si>
    <r>
      <t>f</t>
    </r>
    <r>
      <rPr>
        <vertAlign val="subscript"/>
        <sz val="14"/>
        <color theme="1"/>
        <rFont val="72"/>
        <family val="2"/>
        <charset val="238"/>
      </rPr>
      <t>CO2 "tü.a."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</si>
  <si>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nren "tü.a."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</si>
  <si>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ki</t>
    </r>
    <r>
      <rPr>
        <sz val="14"/>
        <color theme="1"/>
        <rFont val="Calibri"/>
        <family val="2"/>
        <charset val="238"/>
        <scheme val="minor"/>
      </rPr>
      <t>×g×f</t>
    </r>
    <r>
      <rPr>
        <vertAlign val="subscript"/>
        <sz val="14"/>
        <color theme="1"/>
        <rFont val="Calibri"/>
        <family val="2"/>
        <charset val="238"/>
        <scheme val="minor"/>
      </rPr>
      <t>nren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</si>
  <si>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ki</t>
    </r>
    <r>
      <rPr>
        <sz val="14"/>
        <color theme="1"/>
        <rFont val="Calibri"/>
        <family val="2"/>
        <charset val="238"/>
        <scheme val="minor"/>
      </rPr>
      <t>×g×f</t>
    </r>
    <r>
      <rPr>
        <vertAlign val="subscript"/>
        <sz val="14"/>
        <color theme="1"/>
        <rFont val="Calibri"/>
        <family val="2"/>
        <charset val="238"/>
        <scheme val="minor"/>
      </rPr>
      <t>ren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</si>
  <si>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ki</t>
    </r>
    <r>
      <rPr>
        <sz val="14"/>
        <color theme="1"/>
        <rFont val="Calibri"/>
        <family val="2"/>
        <charset val="238"/>
        <scheme val="minor"/>
      </rPr>
      <t>×g×f</t>
    </r>
    <r>
      <rPr>
        <vertAlign val="subscript"/>
        <sz val="14"/>
        <color theme="1"/>
        <rFont val="Calibri"/>
        <family val="2"/>
        <charset val="238"/>
        <scheme val="minor"/>
      </rPr>
      <t>tot</t>
    </r>
  </si>
  <si>
    <r>
      <t>Q</t>
    </r>
    <r>
      <rPr>
        <vertAlign val="subscript"/>
        <sz val="14"/>
        <color theme="1"/>
        <rFont val="Calibri"/>
        <family val="2"/>
        <charset val="238"/>
        <scheme val="minor"/>
      </rPr>
      <t>ki</t>
    </r>
    <r>
      <rPr>
        <sz val="14"/>
        <color theme="1"/>
        <rFont val="Calibri"/>
        <family val="2"/>
        <charset val="238"/>
        <scheme val="minor"/>
      </rPr>
      <t>×g×f</t>
    </r>
    <r>
      <rPr>
        <vertAlign val="subscript"/>
        <sz val="14"/>
        <color theme="1"/>
        <rFont val="72"/>
        <family val="2"/>
        <charset val="238"/>
      </rPr>
      <t>CO2</t>
    </r>
  </si>
  <si>
    <r>
      <t>g</t>
    </r>
    <r>
      <rPr>
        <b/>
        <vertAlign val="subscript"/>
        <sz val="14"/>
        <color theme="1"/>
        <rFont val="Calibri"/>
        <family val="2"/>
        <charset val="238"/>
        <scheme val="minor"/>
      </rPr>
      <t>hsz</t>
    </r>
  </si>
  <si>
    <r>
      <t>g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</si>
  <si>
    <r>
      <t>g</t>
    </r>
    <r>
      <rPr>
        <b/>
        <vertAlign val="subscript"/>
        <sz val="14"/>
        <color theme="1"/>
        <rFont val="Calibri"/>
        <family val="2"/>
        <charset val="238"/>
        <scheme val="minor"/>
      </rPr>
      <t>kaz.</t>
    </r>
  </si>
  <si>
    <t>hőm. egység</t>
  </si>
  <si>
    <t>MVM_B_GTEM</t>
  </si>
  <si>
    <t>2 kapcsolt termelésből</t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</si>
  <si>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vill sz. </t>
    </r>
    <r>
      <rPr>
        <sz val="11"/>
        <color theme="1"/>
        <rFont val="Calibri"/>
        <family val="2"/>
        <charset val="238"/>
        <scheme val="minor"/>
      </rPr>
      <t>[MWh]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</si>
  <si>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vill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</si>
  <si>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hálózat</t>
    </r>
  </si>
  <si>
    <r>
      <t>W</t>
    </r>
    <r>
      <rPr>
        <vertAlign val="subscript"/>
        <sz val="11"/>
        <color rgb="FF000000"/>
        <rFont val="Arial"/>
        <family val="2"/>
        <charset val="238"/>
      </rPr>
      <t>vill</t>
    </r>
    <r>
      <rPr>
        <sz val="11"/>
        <color rgb="FF000000"/>
        <rFont val="Arial"/>
        <family val="2"/>
        <charset val="238"/>
      </rPr>
      <t xml:space="preserve"> × f</t>
    </r>
    <r>
      <rPr>
        <vertAlign val="subscript"/>
        <sz val="11"/>
        <color rgb="FF000000"/>
        <rFont val="Arial"/>
        <family val="2"/>
        <charset val="238"/>
      </rPr>
      <t>nren vill.</t>
    </r>
  </si>
  <si>
    <r>
      <t>W</t>
    </r>
    <r>
      <rPr>
        <i/>
        <vertAlign val="subscript"/>
        <sz val="11"/>
        <color rgb="FF000000"/>
        <rFont val="Arial"/>
        <family val="2"/>
        <charset val="238"/>
      </rPr>
      <t>vill</t>
    </r>
    <r>
      <rPr>
        <i/>
        <sz val="11"/>
        <color rgb="FF000000"/>
        <rFont val="Arial"/>
        <family val="2"/>
        <charset val="238"/>
      </rPr>
      <t xml:space="preserve"> × f</t>
    </r>
    <r>
      <rPr>
        <i/>
        <vertAlign val="subscript"/>
        <sz val="11"/>
        <color rgb="FF000000"/>
        <rFont val="Arial"/>
        <family val="2"/>
        <charset val="238"/>
      </rPr>
      <t>tot vill.</t>
    </r>
  </si>
  <si>
    <r>
      <t>W</t>
    </r>
    <r>
      <rPr>
        <vertAlign val="subscript"/>
        <sz val="11"/>
        <color rgb="FF000000"/>
        <rFont val="Arial"/>
        <family val="2"/>
        <charset val="238"/>
      </rPr>
      <t>vill</t>
    </r>
    <r>
      <rPr>
        <sz val="11"/>
        <color rgb="FF000000"/>
        <rFont val="Arial"/>
        <family val="2"/>
        <charset val="238"/>
      </rPr>
      <t xml:space="preserve"> × f</t>
    </r>
    <r>
      <rPr>
        <vertAlign val="subscript"/>
        <sz val="11"/>
        <color rgb="FF000000"/>
        <rFont val="Arial"/>
        <family val="2"/>
        <charset val="238"/>
      </rPr>
      <t>CO2eq vill.</t>
    </r>
  </si>
  <si>
    <r>
      <t>W</t>
    </r>
    <r>
      <rPr>
        <vertAlign val="subscript"/>
        <sz val="11"/>
        <color rgb="FF000000"/>
        <rFont val="Arial"/>
        <family val="2"/>
        <charset val="238"/>
      </rPr>
      <t>vill</t>
    </r>
    <r>
      <rPr>
        <sz val="11"/>
        <color rgb="FF000000"/>
        <rFont val="Arial"/>
        <family val="2"/>
        <charset val="238"/>
      </rPr>
      <t xml:space="preserve"> × f</t>
    </r>
    <r>
      <rPr>
        <vertAlign val="subscript"/>
        <sz val="11"/>
        <color rgb="FF000000"/>
        <rFont val="Arial"/>
        <family val="2"/>
        <charset val="238"/>
      </rPr>
      <t>ren vill.</t>
    </r>
  </si>
  <si>
    <t>Sorcímkék</t>
  </si>
  <si>
    <t>Végösszeg</t>
  </si>
  <si>
    <t>Összeg / Qki×g×fnren</t>
  </si>
  <si>
    <t>Összeg / Qki×g×fren</t>
  </si>
  <si>
    <t>Összeg / Qki×g×ftot</t>
  </si>
  <si>
    <t>Összeg / Qki×g×fCO2</t>
  </si>
  <si>
    <t>Összeg / Nettó kiadott hő (Qki) MWh</t>
  </si>
  <si>
    <t>(üres)</t>
  </si>
  <si>
    <t>Összeg / Wvill × fnren vill.</t>
  </si>
  <si>
    <t>Összeg / Wvill × fren vill.</t>
  </si>
  <si>
    <t>Összeg / Wvill × ftot vill.</t>
  </si>
  <si>
    <t>Összeg / Wvill × fCO2eq vill.</t>
  </si>
  <si>
    <t>Qki [MWh]</t>
  </si>
  <si>
    <t>Qért</t>
  </si>
  <si>
    <t>Q ért m.egység</t>
  </si>
  <si>
    <r>
      <t>Q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ki</t>
    </r>
    <r>
      <rPr>
        <sz val="11"/>
        <color theme="0" tint="-0.249977111117893"/>
        <rFont val="Calibri"/>
        <family val="2"/>
        <charset val="238"/>
        <scheme val="minor"/>
      </rPr>
      <t>×g×f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nren</t>
    </r>
  </si>
  <si>
    <r>
      <t>Q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ki</t>
    </r>
    <r>
      <rPr>
        <sz val="11"/>
        <color theme="0" tint="-0.249977111117893"/>
        <rFont val="Calibri"/>
        <family val="2"/>
        <charset val="238"/>
        <scheme val="minor"/>
      </rPr>
      <t>×g×f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ren</t>
    </r>
  </si>
  <si>
    <r>
      <t>Q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ki</t>
    </r>
    <r>
      <rPr>
        <sz val="11"/>
        <color theme="0" tint="-0.249977111117893"/>
        <rFont val="Calibri"/>
        <family val="2"/>
        <charset val="238"/>
        <scheme val="minor"/>
      </rPr>
      <t>×g×f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tot</t>
    </r>
  </si>
  <si>
    <r>
      <t>Q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ki</t>
    </r>
    <r>
      <rPr>
        <sz val="11"/>
        <color theme="0" tint="-0.249977111117893"/>
        <rFont val="Calibri"/>
        <family val="2"/>
        <charset val="238"/>
        <scheme val="minor"/>
      </rPr>
      <t>×g×f</t>
    </r>
    <r>
      <rPr>
        <vertAlign val="subscript"/>
        <sz val="11"/>
        <color theme="0" tint="-0.249977111117893"/>
        <rFont val="72"/>
        <family val="2"/>
        <charset val="238"/>
      </rPr>
      <t>CO2</t>
    </r>
  </si>
  <si>
    <r>
      <t>W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vill</t>
    </r>
    <r>
      <rPr>
        <sz val="11"/>
        <color theme="0" tint="-0.249977111117893"/>
        <rFont val="Calibri"/>
        <family val="2"/>
        <charset val="238"/>
        <scheme val="minor"/>
      </rPr>
      <t xml:space="preserve"> × 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nren vill.</t>
    </r>
  </si>
  <si>
    <r>
      <t>W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vill</t>
    </r>
    <r>
      <rPr>
        <sz val="11"/>
        <color theme="0" tint="-0.249977111117893"/>
        <rFont val="Calibri"/>
        <family val="2"/>
        <charset val="238"/>
        <scheme val="minor"/>
      </rPr>
      <t xml:space="preserve"> × 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ren vill.</t>
    </r>
  </si>
  <si>
    <r>
      <t>W</t>
    </r>
    <r>
      <rPr>
        <i/>
        <vertAlign val="subscript"/>
        <sz val="11"/>
        <color theme="0" tint="-0.249977111117893"/>
        <rFont val="Calibri"/>
        <family val="2"/>
        <charset val="238"/>
        <scheme val="minor"/>
      </rPr>
      <t>vill</t>
    </r>
    <r>
      <rPr>
        <i/>
        <sz val="11"/>
        <color theme="0" tint="-0.249977111117893"/>
        <rFont val="Calibri"/>
        <family val="2"/>
        <charset val="238"/>
        <scheme val="minor"/>
      </rPr>
      <t xml:space="preserve"> × f</t>
    </r>
    <r>
      <rPr>
        <i/>
        <vertAlign val="subscript"/>
        <sz val="11"/>
        <color theme="0" tint="-0.249977111117893"/>
        <rFont val="Calibri"/>
        <family val="2"/>
        <charset val="238"/>
        <scheme val="minor"/>
      </rPr>
      <t>tot vill.</t>
    </r>
  </si>
  <si>
    <r>
      <t>W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vill</t>
    </r>
    <r>
      <rPr>
        <sz val="11"/>
        <color theme="0" tint="-0.249977111117893"/>
        <rFont val="Calibri"/>
        <family val="2"/>
        <charset val="238"/>
        <scheme val="minor"/>
      </rPr>
      <t xml:space="preserve"> × f</t>
    </r>
    <r>
      <rPr>
        <vertAlign val="subscript"/>
        <sz val="11"/>
        <color theme="0" tint="-0.249977111117893"/>
        <rFont val="Calibri"/>
        <family val="2"/>
        <charset val="238"/>
        <scheme val="minor"/>
      </rPr>
      <t>CO2eq vill.</t>
    </r>
  </si>
  <si>
    <r>
      <t>f</t>
    </r>
    <r>
      <rPr>
        <b/>
        <vertAlign val="subscript"/>
        <sz val="12"/>
        <color theme="1"/>
        <rFont val="Arial"/>
        <family val="2"/>
        <charset val="238"/>
      </rPr>
      <t>távhő nren</t>
    </r>
  </si>
  <si>
    <r>
      <t>f</t>
    </r>
    <r>
      <rPr>
        <b/>
        <vertAlign val="subscript"/>
        <sz val="12"/>
        <color theme="1"/>
        <rFont val="Arial"/>
        <family val="2"/>
        <charset val="238"/>
      </rPr>
      <t>távhő ren</t>
    </r>
  </si>
  <si>
    <r>
      <t>f</t>
    </r>
    <r>
      <rPr>
        <b/>
        <vertAlign val="subscript"/>
        <sz val="12"/>
        <color theme="1"/>
        <rFont val="Arial"/>
        <family val="2"/>
        <charset val="238"/>
      </rPr>
      <t>távhő tot</t>
    </r>
  </si>
  <si>
    <r>
      <t>f</t>
    </r>
    <r>
      <rPr>
        <b/>
        <vertAlign val="subscript"/>
        <sz val="12"/>
        <color theme="1"/>
        <rFont val="Arial"/>
        <family val="2"/>
        <charset val="238"/>
      </rPr>
      <t>távhő CO2</t>
    </r>
  </si>
  <si>
    <r>
      <t>h</t>
    </r>
    <r>
      <rPr>
        <vertAlign val="subscript"/>
        <sz val="12"/>
        <color theme="1"/>
        <rFont val="Arial"/>
        <family val="2"/>
        <charset val="238"/>
      </rPr>
      <t>számított</t>
    </r>
  </si>
  <si>
    <r>
      <t>E</t>
    </r>
    <r>
      <rPr>
        <vertAlign val="subscript"/>
        <sz val="12"/>
        <color theme="1"/>
        <rFont val="Arial"/>
        <family val="2"/>
        <charset val="238"/>
      </rPr>
      <t xml:space="preserve"> súlyozott nren</t>
    </r>
  </si>
  <si>
    <r>
      <t>E</t>
    </r>
    <r>
      <rPr>
        <vertAlign val="subscript"/>
        <sz val="12"/>
        <color theme="1"/>
        <rFont val="Arial"/>
        <family val="2"/>
        <charset val="238"/>
      </rPr>
      <t xml:space="preserve"> súlyozott ren</t>
    </r>
  </si>
  <si>
    <r>
      <t>E</t>
    </r>
    <r>
      <rPr>
        <vertAlign val="subscript"/>
        <sz val="12"/>
        <color theme="1"/>
        <rFont val="Arial"/>
        <family val="2"/>
        <charset val="238"/>
      </rPr>
      <t xml:space="preserve"> súlyozott tot</t>
    </r>
  </si>
  <si>
    <r>
      <t>E</t>
    </r>
    <r>
      <rPr>
        <vertAlign val="subscript"/>
        <sz val="12"/>
        <color theme="1"/>
        <rFont val="Arial"/>
        <family val="2"/>
        <charset val="238"/>
      </rPr>
      <t xml:space="preserve"> súlyozott CO2</t>
    </r>
  </si>
  <si>
    <t>össz.Qki. m.egys.</t>
  </si>
  <si>
    <t xml:space="preserve">Közvetlen hőtermelés ("HŐCSERÉLŐ") </t>
  </si>
  <si>
    <t xml:space="preserve">Közvetlen hőtermelés (tüzelés kazánban) </t>
  </si>
  <si>
    <t>Csepel_CCGT</t>
  </si>
  <si>
    <t>Termelt hőre</t>
  </si>
  <si>
    <t>Értékesített hőre</t>
  </si>
  <si>
    <t>MINTA 1</t>
  </si>
  <si>
    <t>MINTA 2</t>
  </si>
  <si>
    <t>TELEP 1</t>
  </si>
  <si>
    <t>TELEP 2</t>
  </si>
  <si>
    <t>TELEP 3</t>
  </si>
  <si>
    <t>TELEP 4</t>
  </si>
  <si>
    <t>EGYSÉG 1</t>
  </si>
  <si>
    <t>EGYSÉG 2</t>
  </si>
  <si>
    <t>EGYSÉG 3</t>
  </si>
  <si>
    <t>EGYSÉG 4</t>
  </si>
  <si>
    <t>EGYSÉG 5</t>
  </si>
  <si>
    <t>EGYSÉG 6</t>
  </si>
  <si>
    <t>EGYSÉG 7</t>
  </si>
  <si>
    <t>termelt hőmenny. egység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</si>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</sst>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00\ _F_t_-;\-* #,##0.000\ _F_t_-;_-* &quot;-&quot;?\ _F_t_-;_-@_-"/>
    <numFmt numFmtId="168" formatCode="0.000"/>
    <numFmt numFmtId="169" formatCode="_-* #,##0.000\ _F_t_-;\-* #,##0.000\ _F_t_-;_-* &quot;-&quot;??\ _F_t_-;_-@_-"/>
    <numFmt numFmtId="170" formatCode="_-* #,##0.000_-;\-* #,##0.000_-;_-* &quot;-&quot;??_-;_-@_-"/>
    <numFmt numFmtId="171" formatCode="0.0000"/>
    <numFmt numFmtId="172" formatCode="#,##0.000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sz val="14"/>
      <color theme="1"/>
      <name val="Symbol"/>
      <family val="1"/>
      <charset val="2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vertAlign val="subscript"/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Symbol"/>
      <family val="1"/>
      <charset val="2"/>
    </font>
    <font>
      <i/>
      <vertAlign val="sub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vertAlign val="subscript"/>
      <sz val="14"/>
      <color theme="1"/>
      <name val="72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vertAlign val="subscript"/>
      <sz val="11"/>
      <color theme="0" tint="-0.249977111117893"/>
      <name val="Calibri"/>
      <family val="2"/>
      <charset val="238"/>
      <scheme val="minor"/>
    </font>
    <font>
      <vertAlign val="subscript"/>
      <sz val="11"/>
      <color theme="0" tint="-0.249977111117893"/>
      <name val="72"/>
      <family val="2"/>
      <charset val="238"/>
    </font>
    <font>
      <i/>
      <sz val="11"/>
      <color theme="0" tint="-0.249977111117893"/>
      <name val="Calibri"/>
      <family val="2"/>
      <charset val="238"/>
      <scheme val="minor"/>
    </font>
    <font>
      <i/>
      <vertAlign val="subscript"/>
      <sz val="11"/>
      <color theme="0" tint="-0.249977111117893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bscript"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Continuous"/>
    </xf>
    <xf numFmtId="0" fontId="5" fillId="0" borderId="4" xfId="0" applyFont="1" applyBorder="1" applyAlignment="1">
      <alignment horizontal="centerContinuous" vertical="center" wrapText="1"/>
    </xf>
    <xf numFmtId="0" fontId="0" fillId="3" borderId="0" xfId="0" applyFill="1"/>
    <xf numFmtId="0" fontId="0" fillId="4" borderId="0" xfId="0" applyFill="1" applyAlignment="1">
      <alignment wrapText="1"/>
    </xf>
    <xf numFmtId="165" fontId="0" fillId="0" borderId="0" xfId="1" applyNumberFormat="1" applyFont="1"/>
    <xf numFmtId="0" fontId="9" fillId="0" borderId="0" xfId="0" applyFont="1"/>
    <xf numFmtId="165" fontId="9" fillId="0" borderId="0" xfId="1" applyNumberFormat="1" applyFont="1"/>
    <xf numFmtId="0" fontId="9" fillId="0" borderId="2" xfId="0" applyFont="1" applyBorder="1"/>
    <xf numFmtId="0" fontId="11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 vertical="center" wrapText="1"/>
    </xf>
    <xf numFmtId="164" fontId="12" fillId="0" borderId="2" xfId="2" applyNumberFormat="1" applyFont="1" applyFill="1" applyBorder="1" applyAlignment="1">
      <alignment vertical="center" wrapText="1"/>
    </xf>
    <xf numFmtId="164" fontId="12" fillId="0" borderId="2" xfId="2" applyNumberFormat="1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4" borderId="0" xfId="0" applyFill="1"/>
    <xf numFmtId="0" fontId="19" fillId="3" borderId="5" xfId="0" applyFont="1" applyFill="1" applyBorder="1" applyAlignment="1">
      <alignment horizontal="center"/>
    </xf>
    <xf numFmtId="0" fontId="21" fillId="3" borderId="2" xfId="0" applyFont="1" applyFill="1" applyBorder="1"/>
    <xf numFmtId="43" fontId="0" fillId="4" borderId="0" xfId="1" applyFont="1" applyFill="1"/>
    <xf numFmtId="166" fontId="0" fillId="4" borderId="0" xfId="1" applyNumberFormat="1" applyFont="1" applyFill="1"/>
    <xf numFmtId="166" fontId="18" fillId="3" borderId="0" xfId="0" applyNumberFormat="1" applyFont="1" applyFill="1"/>
    <xf numFmtId="0" fontId="18" fillId="3" borderId="0" xfId="0" applyFont="1" applyFill="1"/>
    <xf numFmtId="10" fontId="18" fillId="3" borderId="0" xfId="2" applyNumberFormat="1" applyFont="1" applyFill="1"/>
    <xf numFmtId="167" fontId="0" fillId="3" borderId="0" xfId="0" applyNumberFormat="1" applyFill="1"/>
    <xf numFmtId="164" fontId="0" fillId="3" borderId="0" xfId="2" applyNumberFormat="1" applyFont="1" applyFill="1"/>
    <xf numFmtId="10" fontId="0" fillId="3" borderId="0" xfId="2" applyNumberFormat="1" applyFont="1" applyFill="1"/>
    <xf numFmtId="0" fontId="2" fillId="0" borderId="0" xfId="0" applyFont="1"/>
    <xf numFmtId="168" fontId="2" fillId="3" borderId="0" xfId="0" applyNumberFormat="1" applyFont="1" applyFill="1"/>
    <xf numFmtId="43" fontId="0" fillId="0" borderId="0" xfId="1" applyFont="1"/>
    <xf numFmtId="0" fontId="0" fillId="3" borderId="0" xfId="0" applyFill="1" applyAlignment="1">
      <alignment wrapText="1"/>
    </xf>
    <xf numFmtId="43" fontId="0" fillId="3" borderId="0" xfId="1" applyFont="1" applyFill="1"/>
    <xf numFmtId="0" fontId="0" fillId="4" borderId="0" xfId="0" quotePrefix="1" applyFill="1"/>
    <xf numFmtId="0" fontId="0" fillId="3" borderId="0" xfId="0" quotePrefix="1" applyFill="1" applyAlignment="1">
      <alignment wrapText="1"/>
    </xf>
    <xf numFmtId="0" fontId="0" fillId="3" borderId="0" xfId="0" quotePrefix="1" applyFill="1"/>
    <xf numFmtId="0" fontId="0" fillId="6" borderId="0" xfId="0" applyFill="1" applyAlignment="1">
      <alignment wrapText="1"/>
    </xf>
    <xf numFmtId="0" fontId="13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43" fontId="0" fillId="5" borderId="0" xfId="1" applyFont="1" applyFill="1"/>
    <xf numFmtId="0" fontId="9" fillId="4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/>
    <xf numFmtId="0" fontId="17" fillId="3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22" fillId="3" borderId="0" xfId="0" applyFont="1" applyFill="1" applyAlignment="1">
      <alignment horizontal="center" vertical="center" textRotation="90"/>
    </xf>
    <xf numFmtId="165" fontId="0" fillId="3" borderId="0" xfId="1" applyNumberFormat="1" applyFont="1" applyFill="1"/>
    <xf numFmtId="0" fontId="18" fillId="4" borderId="0" xfId="0" applyFont="1" applyFill="1" applyAlignment="1">
      <alignment wrapText="1"/>
    </xf>
    <xf numFmtId="0" fontId="17" fillId="3" borderId="0" xfId="0" applyFont="1" applyFill="1"/>
    <xf numFmtId="43" fontId="2" fillId="3" borderId="0" xfId="1" applyFont="1" applyFill="1"/>
    <xf numFmtId="0" fontId="0" fillId="6" borderId="0" xfId="0" quotePrefix="1" applyFill="1"/>
    <xf numFmtId="43" fontId="0" fillId="6" borderId="0" xfId="1" applyFont="1" applyFill="1"/>
    <xf numFmtId="0" fontId="2" fillId="6" borderId="0" xfId="0" applyFont="1" applyFill="1" applyAlignment="1">
      <alignment horizontal="center"/>
    </xf>
    <xf numFmtId="43" fontId="0" fillId="4" borderId="0" xfId="1" quotePrefix="1" applyFont="1" applyFill="1"/>
    <xf numFmtId="0" fontId="0" fillId="6" borderId="0" xfId="0" applyFill="1"/>
    <xf numFmtId="0" fontId="9" fillId="6" borderId="0" xfId="0" applyFont="1" applyFill="1"/>
    <xf numFmtId="0" fontId="9" fillId="6" borderId="0" xfId="0" applyFont="1" applyFill="1" applyAlignment="1">
      <alignment wrapText="1"/>
    </xf>
    <xf numFmtId="0" fontId="22" fillId="4" borderId="0" xfId="0" applyFont="1" applyFill="1" applyAlignment="1">
      <alignment wrapText="1"/>
    </xf>
    <xf numFmtId="43" fontId="0" fillId="4" borderId="0" xfId="1" applyFont="1" applyFill="1" applyAlignment="1">
      <alignment wrapText="1"/>
    </xf>
    <xf numFmtId="10" fontId="0" fillId="6" borderId="0" xfId="2" applyNumberFormat="1" applyFont="1" applyFill="1"/>
    <xf numFmtId="164" fontId="21" fillId="3" borderId="2" xfId="2" applyNumberFormat="1" applyFont="1" applyFill="1" applyBorder="1"/>
    <xf numFmtId="169" fontId="0" fillId="3" borderId="0" xfId="0" quotePrefix="1" applyNumberFormat="1" applyFill="1"/>
    <xf numFmtId="168" fontId="2" fillId="6" borderId="0" xfId="0" quotePrefix="1" applyNumberFormat="1" applyFont="1" applyFill="1" applyAlignment="1">
      <alignment wrapText="1"/>
    </xf>
    <xf numFmtId="168" fontId="2" fillId="6" borderId="0" xfId="0" applyNumberFormat="1" applyFont="1" applyFill="1"/>
    <xf numFmtId="170" fontId="0" fillId="3" borderId="0" xfId="1" applyNumberFormat="1" applyFont="1" applyFill="1"/>
    <xf numFmtId="2" fontId="0" fillId="3" borderId="0" xfId="0" quotePrefix="1" applyNumberFormat="1" applyFill="1"/>
    <xf numFmtId="2" fontId="0" fillId="6" borderId="0" xfId="0" quotePrefix="1" applyNumberFormat="1" applyFill="1"/>
    <xf numFmtId="0" fontId="13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168" fontId="0" fillId="8" borderId="0" xfId="0" applyNumberFormat="1" applyFill="1"/>
    <xf numFmtId="0" fontId="9" fillId="3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71" fontId="0" fillId="0" borderId="0" xfId="0" quotePrefix="1" applyNumberFormat="1"/>
    <xf numFmtId="171" fontId="0" fillId="3" borderId="0" xfId="0" quotePrefix="1" applyNumberFormat="1" applyFill="1"/>
    <xf numFmtId="0" fontId="0" fillId="10" borderId="0" xfId="0" applyFill="1"/>
    <xf numFmtId="168" fontId="26" fillId="9" borderId="0" xfId="0" quotePrefix="1" applyNumberFormat="1" applyFont="1" applyFill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2" fillId="9" borderId="0" xfId="0" applyFont="1" applyFill="1"/>
    <xf numFmtId="0" fontId="34" fillId="6" borderId="0" xfId="0" applyFont="1" applyFill="1"/>
    <xf numFmtId="0" fontId="34" fillId="3" borderId="0" xfId="0" applyFont="1" applyFill="1"/>
    <xf numFmtId="0" fontId="34" fillId="4" borderId="0" xfId="0" applyFont="1" applyFill="1"/>
    <xf numFmtId="0" fontId="34" fillId="10" borderId="0" xfId="0" applyFont="1" applyFill="1"/>
    <xf numFmtId="4" fontId="0" fillId="3" borderId="0" xfId="0" applyNumberFormat="1" applyFill="1" applyAlignment="1">
      <alignment wrapText="1"/>
    </xf>
    <xf numFmtId="0" fontId="0" fillId="0" borderId="0" xfId="0" applyAlignment="1">
      <alignment horizontal="left" indent="1"/>
    </xf>
    <xf numFmtId="0" fontId="18" fillId="6" borderId="0" xfId="0" applyFont="1" applyFill="1" applyAlignment="1">
      <alignment wrapText="1"/>
    </xf>
    <xf numFmtId="0" fontId="18" fillId="6" borderId="0" xfId="0" applyFont="1" applyFill="1"/>
    <xf numFmtId="4" fontId="0" fillId="3" borderId="0" xfId="0" applyNumberFormat="1" applyFill="1"/>
    <xf numFmtId="0" fontId="25" fillId="6" borderId="0" xfId="0" applyFont="1" applyFill="1"/>
    <xf numFmtId="43" fontId="1" fillId="6" borderId="0" xfId="1" applyFont="1" applyFill="1"/>
    <xf numFmtId="172" fontId="0" fillId="6" borderId="0" xfId="1" applyNumberFormat="1" applyFont="1" applyFill="1"/>
    <xf numFmtId="2" fontId="0" fillId="3" borderId="0" xfId="0" applyNumberFormat="1" applyFill="1" applyAlignment="1">
      <alignment wrapText="1"/>
    </xf>
    <xf numFmtId="0" fontId="36" fillId="4" borderId="0" xfId="0" applyFont="1" applyFill="1"/>
    <xf numFmtId="168" fontId="0" fillId="0" borderId="0" xfId="0" applyNumberFormat="1"/>
    <xf numFmtId="0" fontId="32" fillId="11" borderId="0" xfId="0" applyFont="1" applyFill="1"/>
    <xf numFmtId="168" fontId="37" fillId="9" borderId="0" xfId="0" quotePrefix="1" applyNumberFormat="1" applyFont="1" applyFill="1" applyAlignment="1">
      <alignment wrapText="1"/>
    </xf>
    <xf numFmtId="168" fontId="38" fillId="11" borderId="0" xfId="0" applyNumberFormat="1" applyFont="1" applyFill="1"/>
    <xf numFmtId="168" fontId="2" fillId="11" borderId="0" xfId="0" applyNumberFormat="1" applyFont="1" applyFill="1"/>
    <xf numFmtId="0" fontId="18" fillId="0" borderId="0" xfId="0" applyFont="1"/>
    <xf numFmtId="168" fontId="18" fillId="0" borderId="0" xfId="0" applyNumberFormat="1" applyFont="1"/>
    <xf numFmtId="171" fontId="26" fillId="9" borderId="0" xfId="0" quotePrefix="1" applyNumberFormat="1" applyFont="1" applyFill="1" applyAlignment="1">
      <alignment wrapText="1"/>
    </xf>
    <xf numFmtId="0" fontId="9" fillId="6" borderId="0" xfId="0" applyFont="1" applyFill="1" applyAlignment="1">
      <alignment horizontal="center" vertical="center" textRotation="90" wrapText="1"/>
    </xf>
    <xf numFmtId="0" fontId="9" fillId="6" borderId="0" xfId="0" applyFont="1" applyFill="1" applyAlignment="1">
      <alignment vertical="center" wrapText="1"/>
    </xf>
    <xf numFmtId="164" fontId="0" fillId="6" borderId="0" xfId="2" applyNumberFormat="1" applyFont="1" applyFill="1"/>
    <xf numFmtId="0" fontId="0" fillId="11" borderId="0" xfId="0" applyFill="1" applyAlignment="1">
      <alignment horizontal="center"/>
    </xf>
    <xf numFmtId="0" fontId="32" fillId="9" borderId="0" xfId="0" applyFont="1" applyFill="1" applyAlignment="1">
      <alignment horizontal="center"/>
    </xf>
  </cellXfs>
  <cellStyles count="3">
    <cellStyle name="Ezres" xfId="1" builtinId="3"/>
    <cellStyle name="Normál" xfId="0" builtinId="0"/>
    <cellStyle name="Százalék" xfId="2" builtinId="5"/>
  </cellStyles>
  <dxfs count="4">
    <dxf>
      <font>
        <color theme="0" tint="-0.34998626667073579"/>
      </font>
      <fill>
        <patternFill>
          <bgColor rgb="FFFEDDDD"/>
        </patternFill>
      </fill>
    </dxf>
    <dxf>
      <font>
        <color theme="0" tint="-0.24994659260841701"/>
      </font>
      <fill>
        <patternFill>
          <bgColor rgb="FFFEDDDD"/>
        </patternFill>
      </fill>
    </dxf>
    <dxf>
      <font>
        <color theme="0" tint="-0.34998626667073579"/>
      </font>
      <fill>
        <patternFill>
          <bgColor rgb="FFFCD4D4"/>
        </patternFill>
      </fill>
    </dxf>
    <dxf>
      <font>
        <color theme="0" tint="-0.34998626667073579"/>
      </font>
      <fill>
        <patternFill>
          <bgColor rgb="FFFCD4D4"/>
        </patternFill>
      </fill>
    </dxf>
  </dxfs>
  <tableStyles count="0" defaultTableStyle="TableStyleMedium2" defaultPivotStyle="PivotStyleLight16"/>
  <colors>
    <mruColors>
      <color rgb="FFFEDDDD"/>
      <color rgb="FFF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0</xdr:rowOff>
    </xdr:from>
    <xdr:to>
      <xdr:col>12</xdr:col>
      <xdr:colOff>495300</xdr:colOff>
      <xdr:row>29</xdr:row>
      <xdr:rowOff>161925</xdr:rowOff>
    </xdr:to>
    <xdr:sp macro="" textlink="">
      <xdr:nvSpPr>
        <xdr:cNvPr id="7170" name="pr677id1701793055499" descr="https://uj.jogtar.hu/get-doc-resource?resourceid=gp2_16_A2300009$BEKO__999_a2300009eko$A3490$A3a$Amk78$BBMP_0.pn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6010275"/>
          <a:ext cx="26955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émethi Balázs" refreshedDate="45316.678157407405" createdVersion="6" refreshedVersion="6" minRefreshableVersion="3" recordCount="31" xr:uid="{00000000-000A-0000-FFFF-FFFF18000000}">
  <cacheSource type="worksheet">
    <worksheetSource ref="B2:O33" sheet="Egységek"/>
  </cacheSource>
  <cacheFields count="14">
    <cacheField name="név" numFmtId="0">
      <sharedItems containsBlank="1"/>
    </cacheField>
    <cacheField name="telephely" numFmtId="0">
      <sharedItems containsBlank="1" count="5">
        <s v="TELEP 1"/>
        <s v="TELEP 2"/>
        <m/>
        <s v="TELEP 3"/>
        <s v="TELEP 4"/>
      </sharedItems>
    </cacheField>
    <cacheField name="rendszer" numFmtId="0">
      <sharedItems count="3">
        <s v="MINTA 1"/>
        <s v="-"/>
        <s v="MINTA 2"/>
      </sharedItems>
    </cacheField>
    <cacheField name="technológia" numFmtId="0">
      <sharedItems containsNonDate="0" containsString="0" containsBlank="1"/>
    </cacheField>
    <cacheField name="létesítés éve" numFmtId="0">
      <sharedItems containsNonDate="0" containsString="0" containsBlank="1"/>
    </cacheField>
    <cacheField name="&quot;tüzelőanyag&quot;" numFmtId="0">
      <sharedItems containsNonDate="0" containsString="0" containsBlank="1"/>
    </cacheField>
    <cacheField name="termelt távhőmennyiség" numFmtId="0">
      <sharedItems containsNonDate="0" containsString="0" containsBlank="1"/>
    </cacheField>
    <cacheField name="termelt hőmenny. egység" numFmtId="0">
      <sharedItems/>
    </cacheField>
    <cacheField name="önfogyasztással csökkentendő?" numFmtId="0">
      <sharedItems containsNonDate="0" containsString="0" containsBlank="1"/>
    </cacheField>
    <cacheField name="Nettó kiadott hő (Qki) MWh" numFmtId="43">
      <sharedItems containsSemiMixedTypes="0" containsString="0" containsNumber="1" containsInteger="1" minValue="0" maxValue="0"/>
    </cacheField>
    <cacheField name="Qki×g×fnren" numFmtId="43">
      <sharedItems containsMixedTypes="1" containsNumber="1" containsInteger="1" minValue="0" maxValue="0"/>
    </cacheField>
    <cacheField name="Qki×g×fren" numFmtId="43">
      <sharedItems containsMixedTypes="1" containsNumber="1" containsInteger="1" minValue="0" maxValue="0"/>
    </cacheField>
    <cacheField name="Qki×g×ftot" numFmtId="43">
      <sharedItems containsMixedTypes="1" containsNumber="1" containsInteger="1" minValue="0" maxValue="0"/>
    </cacheField>
    <cacheField name="Qki×g×fCO2" numFmtId="43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émethi Balázs" refreshedDate="45316.678460532406" createdVersion="6" refreshedVersion="6" minRefreshableVersion="3" recordCount="52" xr:uid="{00000000-000A-0000-FFFF-FFFF1D000000}">
  <cacheSource type="worksheet">
    <worksheetSource ref="A1:F53" sheet="telephelyek"/>
  </cacheSource>
  <cacheFields count="6">
    <cacheField name="telephely megnevezése" numFmtId="0">
      <sharedItems containsBlank="1"/>
    </cacheField>
    <cacheField name="távhőrendszer" numFmtId="0">
      <sharedItems containsBlank="1" count="3">
        <s v="MINTA 1"/>
        <m/>
        <s v="MINTA 2"/>
      </sharedItems>
    </cacheField>
    <cacheField name="Wvill × fnren vill." numFmtId="168">
      <sharedItems containsSemiMixedTypes="0" containsString="0" containsNumber="1" containsInteger="1" minValue="0" maxValue="0"/>
    </cacheField>
    <cacheField name="Wvill × fren vill." numFmtId="168">
      <sharedItems containsSemiMixedTypes="0" containsString="0" containsNumber="1" containsInteger="1" minValue="0" maxValue="0"/>
    </cacheField>
    <cacheField name="Wvill × ftot vill." numFmtId="168">
      <sharedItems containsSemiMixedTypes="0" containsString="0" containsNumber="1" containsInteger="1" minValue="0" maxValue="0"/>
    </cacheField>
    <cacheField name="Wvill × fCO2eq vill." numFmtId="16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EGYSÉG 1"/>
    <x v="0"/>
    <x v="0"/>
    <m/>
    <m/>
    <m/>
    <m/>
    <s v="GJ"/>
    <m/>
    <n v="0"/>
    <e v="#DIV/0!"/>
    <e v="#DIV/0!"/>
    <e v="#DIV/0!"/>
    <e v="#DIV/0!"/>
  </r>
  <r>
    <s v="EGYSÉG 2"/>
    <x v="0"/>
    <x v="0"/>
    <m/>
    <m/>
    <m/>
    <m/>
    <s v="GJ"/>
    <m/>
    <n v="0"/>
    <e v="#DIV/0!"/>
    <e v="#DIV/0!"/>
    <e v="#DIV/0!"/>
    <e v="#DIV/0!"/>
  </r>
  <r>
    <s v="EGYSÉG 3"/>
    <x v="1"/>
    <x v="0"/>
    <m/>
    <m/>
    <m/>
    <m/>
    <s v="GJ"/>
    <m/>
    <n v="0"/>
    <e v="#DIV/0!"/>
    <e v="#DIV/0!"/>
    <e v="#DIV/0!"/>
    <e v="#DIV/0!"/>
  </r>
  <r>
    <s v="EGYSÉG 4"/>
    <x v="1"/>
    <x v="0"/>
    <m/>
    <m/>
    <m/>
    <m/>
    <s v="GJ"/>
    <m/>
    <n v="0"/>
    <e v="#DIV/0!"/>
    <e v="#DIV/0!"/>
    <e v="#DIV/0!"/>
    <e v="#DIV/0!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s v="EGYSÉG 5"/>
    <x v="3"/>
    <x v="2"/>
    <m/>
    <m/>
    <m/>
    <m/>
    <s v="GJ"/>
    <m/>
    <n v="0"/>
    <e v="#DIV/0!"/>
    <e v="#DIV/0!"/>
    <e v="#DIV/0!"/>
    <e v="#DIV/0!"/>
  </r>
  <r>
    <s v="EGYSÉG 6"/>
    <x v="3"/>
    <x v="2"/>
    <m/>
    <m/>
    <m/>
    <m/>
    <s v="GJ"/>
    <m/>
    <n v="0"/>
    <e v="#DIV/0!"/>
    <e v="#DIV/0!"/>
    <e v="#DIV/0!"/>
    <e v="#DIV/0!"/>
  </r>
  <r>
    <s v="EGYSÉG 7"/>
    <x v="4"/>
    <x v="2"/>
    <m/>
    <m/>
    <m/>
    <m/>
    <s v="GJ"/>
    <m/>
    <n v="0"/>
    <e v="#DIV/0!"/>
    <e v="#DIV/0!"/>
    <e v="#DIV/0!"/>
    <e v="#DIV/0!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  <r>
    <m/>
    <x v="2"/>
    <x v="1"/>
    <m/>
    <m/>
    <m/>
    <m/>
    <s v="GJ"/>
    <m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s v="TELEP 1"/>
    <x v="0"/>
    <n v="0"/>
    <n v="0"/>
    <n v="0"/>
    <n v="0"/>
  </r>
  <r>
    <s v="TELEP 2"/>
    <x v="0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s v="TELEP 3"/>
    <x v="2"/>
    <n v="0"/>
    <n v="0"/>
    <n v="0"/>
    <n v="0"/>
  </r>
  <r>
    <s v="TELEP 4"/>
    <x v="2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  <r>
    <m/>
    <x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imutatás1" cacheId="4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:F10" firstHeaderRow="0" firstDataRow="1" firstDataCol="1"/>
  <pivotFields count="14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</pivotFields>
  <rowFields count="2">
    <field x="2"/>
    <field x="1"/>
  </rowFields>
  <rowItems count="9">
    <i>
      <x/>
    </i>
    <i r="1">
      <x/>
    </i>
    <i r="1">
      <x v="1"/>
    </i>
    <i>
      <x v="1"/>
    </i>
    <i r="1">
      <x v="2"/>
    </i>
    <i>
      <x v="2"/>
    </i>
    <i r="1">
      <x v="3"/>
    </i>
    <i r="1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Összeg / Nettó kiadott hő (Qki) MWh" fld="9" baseField="0" baseItem="0"/>
    <dataField name="Összeg / Qki×g×fnren" fld="10" baseField="0" baseItem="0"/>
    <dataField name="Összeg / Qki×g×fren" fld="11" baseField="0" baseItem="0"/>
    <dataField name="Összeg / Qki×g×ftot" fld="12" baseField="0" baseItem="0"/>
    <dataField name="Összeg / Qki×g×fCO2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Kimutatás2" cacheId="5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:E5" firstHeaderRow="0" firstDataRow="1" firstDataCol="1"/>
  <pivotFields count="6">
    <pivotField showAll="0"/>
    <pivotField axis="axisRow" showAll="0">
      <items count="4">
        <item x="1"/>
        <item x="0"/>
        <item x="2"/>
        <item t="default"/>
      </items>
    </pivotField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Összeg / Wvill × fnren vill." fld="2" baseField="0" baseItem="0"/>
    <dataField name="Összeg / Wvill × fren vill." fld="3" baseField="0" baseItem="0"/>
    <dataField name="Összeg / Wvill × ftot vill." fld="4" baseField="0" baseItem="0"/>
    <dataField name="Összeg / Wvill × fCO2eq vill.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U24"/>
  <sheetViews>
    <sheetView workbookViewId="0">
      <selection activeCell="A5" sqref="A5"/>
    </sheetView>
  </sheetViews>
  <sheetFormatPr baseColWidth="10" defaultColWidth="8.83203125" defaultRowHeight="15"/>
  <cols>
    <col min="1" max="1" width="35.1640625" bestFit="1" customWidth="1"/>
    <col min="2" max="2" width="11.83203125" bestFit="1" customWidth="1"/>
    <col min="3" max="3" width="10.6640625" bestFit="1" customWidth="1"/>
    <col min="4" max="4" width="10.5" bestFit="1" customWidth="1"/>
    <col min="5" max="5" width="12.5" bestFit="1" customWidth="1"/>
    <col min="6" max="6" width="12.5" customWidth="1"/>
    <col min="7" max="7" width="15.1640625" customWidth="1"/>
    <col min="8" max="9" width="16.6640625" customWidth="1"/>
    <col min="10" max="10" width="8.5" bestFit="1" customWidth="1"/>
    <col min="12" max="12" width="15.33203125" bestFit="1" customWidth="1"/>
    <col min="13" max="13" width="14.1640625" bestFit="1" customWidth="1"/>
    <col min="14" max="14" width="13.6640625" bestFit="1" customWidth="1"/>
    <col min="15" max="15" width="18.5" customWidth="1"/>
    <col min="17" max="18" width="13.33203125" bestFit="1" customWidth="1"/>
  </cols>
  <sheetData>
    <row r="1" spans="1:21" ht="19">
      <c r="A1">
        <v>3</v>
      </c>
      <c r="L1" s="95" t="s">
        <v>131</v>
      </c>
      <c r="M1" s="95" t="s">
        <v>132</v>
      </c>
      <c r="N1" s="95" t="s">
        <v>133</v>
      </c>
      <c r="O1" s="95" t="s">
        <v>134</v>
      </c>
    </row>
    <row r="2" spans="1:21" ht="18">
      <c r="B2" s="125" t="s">
        <v>153</v>
      </c>
      <c r="C2" s="125"/>
      <c r="D2" s="125"/>
      <c r="E2" s="125"/>
      <c r="F2" s="125"/>
      <c r="L2" s="96" t="s">
        <v>135</v>
      </c>
      <c r="M2" s="96" t="s">
        <v>136</v>
      </c>
      <c r="N2" s="97" t="s">
        <v>137</v>
      </c>
      <c r="O2" s="96" t="s">
        <v>138</v>
      </c>
      <c r="Q2" s="124" t="s">
        <v>152</v>
      </c>
      <c r="R2" s="124"/>
      <c r="S2" s="124"/>
      <c r="T2" s="124"/>
    </row>
    <row r="3" spans="1:21" ht="18">
      <c r="A3" s="99" t="s">
        <v>32</v>
      </c>
      <c r="B3" s="98" t="s">
        <v>139</v>
      </c>
      <c r="C3" s="98" t="s">
        <v>140</v>
      </c>
      <c r="D3" s="98" t="s">
        <v>141</v>
      </c>
      <c r="E3" s="98" t="s">
        <v>142</v>
      </c>
      <c r="F3" s="98"/>
      <c r="G3" s="100" t="s">
        <v>128</v>
      </c>
      <c r="H3" s="101" t="s">
        <v>129</v>
      </c>
      <c r="I3" s="101" t="s">
        <v>130</v>
      </c>
      <c r="J3" s="100" t="s">
        <v>143</v>
      </c>
      <c r="K3" s="102" t="s">
        <v>31</v>
      </c>
      <c r="L3" s="100" t="s">
        <v>144</v>
      </c>
      <c r="M3" s="100" t="s">
        <v>145</v>
      </c>
      <c r="N3" s="100" t="s">
        <v>146</v>
      </c>
      <c r="O3" s="100" t="s">
        <v>147</v>
      </c>
      <c r="Q3" s="114" t="s">
        <v>139</v>
      </c>
      <c r="R3" s="114" t="s">
        <v>140</v>
      </c>
      <c r="S3" s="114" t="s">
        <v>141</v>
      </c>
      <c r="T3" s="114" t="s">
        <v>142</v>
      </c>
    </row>
    <row r="4" spans="1:21" ht="17">
      <c r="A4" s="108" t="s">
        <v>154</v>
      </c>
      <c r="B4" s="94" t="str">
        <f>IFERROR(ROUND(1/(1-$K4)*L4/$G4,$A$1),"")</f>
        <v/>
      </c>
      <c r="C4" s="120" t="str">
        <f>IFERROR(ROUND(1/(1-$K4)*M4/$G4,$A$1),"")</f>
        <v/>
      </c>
      <c r="D4" s="94" t="str">
        <f>IFERROR(B4+C4,"")</f>
        <v/>
      </c>
      <c r="E4" s="94" t="str">
        <f>IFERROR(1/(1-$K4)*O4/$G4,"")</f>
        <v/>
      </c>
      <c r="F4" s="115" t="str">
        <f>IFERROR(E4/3.6,"")</f>
        <v/>
      </c>
      <c r="G4" s="111">
        <f>IFERROR(GETPIVOTDATA("Összeg / Nettó kiadott hő (Qki) MWh",Egység_összegzés!$A$1,"rendszer",$A4),0)</f>
        <v>0</v>
      </c>
      <c r="H4" s="5"/>
      <c r="I4" s="5" t="s">
        <v>52</v>
      </c>
      <c r="J4" s="92" t="str">
        <f>IFERROR((G4-CONVERT(H4,I4,"MWh"))/G4,"")</f>
        <v/>
      </c>
      <c r="K4" s="93"/>
      <c r="L4" s="103">
        <f>IFERROR(GETPIVOTDATA("Összeg / "&amp;L$1,Egység_összegzés!$A$1,"rendszer",$A4)+GETPIVOTDATA("Összeg / "&amp;L$2,Telephely_összegzés!$A$1,"távhőrendszer",$A4),0)</f>
        <v>0</v>
      </c>
      <c r="M4" s="103">
        <f>IFERROR(GETPIVOTDATA("Összeg / "&amp;M$1,Egység_összegzés!$A$1,"rendszer",$A4)+GETPIVOTDATA("Összeg / "&amp;M$2,Telephely_összegzés!$A$1,"távhőrendszer",$A4),0)</f>
        <v>0</v>
      </c>
      <c r="N4" s="103">
        <f>IFERROR(GETPIVOTDATA("Összeg / "&amp;N$1,Egység_összegzés!$A$1,"rendszer",$A4)+GETPIVOTDATA("Összeg / "&amp;N$2,Telephely_összegzés!$A$1,"távhőrendszer",$A4),0)</f>
        <v>0</v>
      </c>
      <c r="O4" s="103">
        <f>IFERROR(GETPIVOTDATA("Összeg / "&amp;O$1,Egység_összegzés!$A$1,"rendszer",$A4)+GETPIVOTDATA("Összeg / "&amp;O$2,Telephely_összegzés!$A$1,"távhőrendszer",$A4),0)</f>
        <v>0</v>
      </c>
      <c r="Q4" s="117" t="e">
        <f>+L4/$G4</f>
        <v>#DIV/0!</v>
      </c>
      <c r="R4" s="117" t="e">
        <f t="shared" ref="R4:T4" si="0">+M4/$G4</f>
        <v>#DIV/0!</v>
      </c>
      <c r="S4" s="117" t="e">
        <f t="shared" si="0"/>
        <v>#DIV/0!</v>
      </c>
      <c r="T4" s="117" t="e">
        <f t="shared" si="0"/>
        <v>#DIV/0!</v>
      </c>
      <c r="U4" s="116" t="e">
        <f>+T4/3.6</f>
        <v>#DIV/0!</v>
      </c>
    </row>
    <row r="5" spans="1:21" ht="17">
      <c r="A5" s="108" t="s">
        <v>155</v>
      </c>
      <c r="B5" s="94" t="str">
        <f t="shared" ref="B5:B15" si="1">IFERROR(ROUND(1/(1-$K5)*L5/$G5,$A$1),"")</f>
        <v/>
      </c>
      <c r="C5" s="120" t="str">
        <f t="shared" ref="C5:C15" si="2">IFERROR(ROUND(1/(1-$K5)*M5/$G5,$A$1),"")</f>
        <v/>
      </c>
      <c r="D5" s="94" t="str">
        <f t="shared" ref="D5:D15" si="3">IFERROR(B5+C5,"")</f>
        <v/>
      </c>
      <c r="E5" s="94" t="str">
        <f t="shared" ref="E5:E15" si="4">IFERROR(1/(1-$K5)*O5/$G5,"")</f>
        <v/>
      </c>
      <c r="F5" s="115" t="str">
        <f t="shared" ref="F5:F15" si="5">IFERROR(E5/3.6,"")</f>
        <v/>
      </c>
      <c r="G5" s="111">
        <f>IFERROR(GETPIVOTDATA("Összeg / Nettó kiadott hő (Qki) MWh",Egység_összegzés!$A$1,"rendszer",$A5),0)</f>
        <v>0</v>
      </c>
      <c r="H5" s="35"/>
      <c r="I5" s="35" t="s">
        <v>52</v>
      </c>
      <c r="J5" s="92" t="str">
        <f t="shared" ref="J5:J24" si="6">IFERROR((G5-CONVERT(H5,I5,"MWh"))/G5,"")</f>
        <v/>
      </c>
      <c r="K5" s="93"/>
      <c r="L5" s="103">
        <f>IFERROR(GETPIVOTDATA("Összeg / "&amp;L$1,Egység_összegzés!$A$1,"rendszer",$A5)+GETPIVOTDATA("Összeg / "&amp;L$2,Telephely_összegzés!$A$1,"távhőrendszer",$A5),0)</f>
        <v>0</v>
      </c>
      <c r="M5" s="103">
        <f>IFERROR(GETPIVOTDATA("Összeg / "&amp;M$1,Egység_összegzés!$A$1,"rendszer",$A5)+GETPIVOTDATA("Összeg / "&amp;M$2,Telephely_összegzés!$A$1,"távhőrendszer",$A5),0)</f>
        <v>0</v>
      </c>
      <c r="N5" s="103">
        <f>IFERROR(GETPIVOTDATA("Összeg / "&amp;N$1,Egység_összegzés!$A$1,"rendszer",$A5)+GETPIVOTDATA("Összeg / "&amp;N$2,Telephely_összegzés!$A$1,"távhőrendszer",$A5),0)</f>
        <v>0</v>
      </c>
      <c r="O5" s="103">
        <f>IFERROR(GETPIVOTDATA("Összeg / "&amp;O$1,Egység_összegzés!$A$1,"rendszer",$A5)+GETPIVOTDATA("Összeg / "&amp;O$2,Telephely_összegzés!$A$1,"távhőrendszer",$A5),0)</f>
        <v>0</v>
      </c>
      <c r="Q5" s="117" t="e">
        <f t="shared" ref="Q5:Q15" si="7">+L5/$G5</f>
        <v>#DIV/0!</v>
      </c>
      <c r="R5" s="117" t="e">
        <f t="shared" ref="R5:R15" si="8">+M5/$G5</f>
        <v>#DIV/0!</v>
      </c>
      <c r="S5" s="117" t="e">
        <f t="shared" ref="S5:S15" si="9">+N5/$G5</f>
        <v>#DIV/0!</v>
      </c>
      <c r="T5" s="117" t="e">
        <f t="shared" ref="T5:T15" si="10">+O5/$G5</f>
        <v>#DIV/0!</v>
      </c>
      <c r="U5" s="116" t="e">
        <f t="shared" ref="U5:U15" si="11">+T5/3.6</f>
        <v>#DIV/0!</v>
      </c>
    </row>
    <row r="6" spans="1:21" ht="17">
      <c r="A6" s="108"/>
      <c r="B6" s="94" t="str">
        <f t="shared" si="1"/>
        <v/>
      </c>
      <c r="C6" s="120" t="str">
        <f t="shared" si="2"/>
        <v/>
      </c>
      <c r="D6" s="94" t="str">
        <f t="shared" si="3"/>
        <v/>
      </c>
      <c r="E6" s="94" t="str">
        <f t="shared" si="4"/>
        <v/>
      </c>
      <c r="F6" s="115" t="str">
        <f t="shared" si="5"/>
        <v/>
      </c>
      <c r="G6" s="111">
        <f>IFERROR(GETPIVOTDATA("Összeg / Nettó kiadott hő (Qki) MWh",Egység_összegzés!$A$1,"rendszer",$A6),0)</f>
        <v>0</v>
      </c>
      <c r="H6" s="35"/>
      <c r="I6" s="35" t="s">
        <v>52</v>
      </c>
      <c r="J6" s="92" t="str">
        <f t="shared" si="6"/>
        <v/>
      </c>
      <c r="K6" s="93"/>
      <c r="L6" s="103">
        <f>IFERROR(GETPIVOTDATA("Összeg / "&amp;L$1,Egység_összegzés!$A$1,"rendszer",$A6)+GETPIVOTDATA("Összeg / "&amp;L$2,Telephely_összegzés!$A$1,"távhőrendszer",$A6),0)</f>
        <v>0</v>
      </c>
      <c r="M6" s="103">
        <f>IFERROR(GETPIVOTDATA("Összeg / "&amp;M$1,Egység_összegzés!$A$1,"rendszer",$A6)+GETPIVOTDATA("Összeg / "&amp;M$2,Telephely_összegzés!$A$1,"távhőrendszer",$A6),0)</f>
        <v>0</v>
      </c>
      <c r="N6" s="103">
        <f>IFERROR(GETPIVOTDATA("Összeg / "&amp;N$1,Egység_összegzés!$A$1,"rendszer",$A6)+GETPIVOTDATA("Összeg / "&amp;N$2,Telephely_összegzés!$A$1,"távhőrendszer",$A6),0)</f>
        <v>0</v>
      </c>
      <c r="O6" s="103">
        <f>IFERROR(GETPIVOTDATA("Összeg / "&amp;O$1,Egység_összegzés!$A$1,"rendszer",$A6)+GETPIVOTDATA("Összeg / "&amp;O$2,Telephely_összegzés!$A$1,"távhőrendszer",$A6),0)</f>
        <v>0</v>
      </c>
      <c r="Q6" s="117" t="e">
        <f t="shared" si="7"/>
        <v>#DIV/0!</v>
      </c>
      <c r="R6" s="117" t="e">
        <f t="shared" si="8"/>
        <v>#DIV/0!</v>
      </c>
      <c r="S6" s="117" t="e">
        <f t="shared" si="9"/>
        <v>#DIV/0!</v>
      </c>
      <c r="T6" s="117" t="e">
        <f t="shared" si="10"/>
        <v>#DIV/0!</v>
      </c>
      <c r="U6" s="116" t="e">
        <f t="shared" si="11"/>
        <v>#DIV/0!</v>
      </c>
    </row>
    <row r="7" spans="1:21" ht="17">
      <c r="A7" s="108"/>
      <c r="B7" s="94" t="str">
        <f t="shared" si="1"/>
        <v/>
      </c>
      <c r="C7" s="120" t="str">
        <f t="shared" si="2"/>
        <v/>
      </c>
      <c r="D7" s="94" t="str">
        <f t="shared" si="3"/>
        <v/>
      </c>
      <c r="E7" s="94" t="str">
        <f t="shared" si="4"/>
        <v/>
      </c>
      <c r="F7" s="115" t="str">
        <f t="shared" si="5"/>
        <v/>
      </c>
      <c r="G7" s="111">
        <f>IFERROR(GETPIVOTDATA("Összeg / Nettó kiadott hő (Qki) MWh",Egység_összegzés!$A$1,"rendszer",$A7),0)</f>
        <v>0</v>
      </c>
      <c r="H7" s="35"/>
      <c r="I7" s="35" t="s">
        <v>52</v>
      </c>
      <c r="J7" s="92" t="str">
        <f t="shared" ref="J7:J15" si="12">IFERROR((G7-CONVERT(H7,I7,"MWh"))/G7,"")</f>
        <v/>
      </c>
      <c r="K7" s="93"/>
      <c r="L7" s="103">
        <f>IFERROR(GETPIVOTDATA("Összeg / "&amp;L$1,Egység_összegzés!$A$1,"rendszer",$A7)+GETPIVOTDATA("Összeg / "&amp;L$2,Telephely_összegzés!$A$1,"távhőrendszer",$A7),0)</f>
        <v>0</v>
      </c>
      <c r="M7" s="103">
        <f>IFERROR(GETPIVOTDATA("Összeg / "&amp;M$1,Egység_összegzés!$A$1,"rendszer",$A7)+GETPIVOTDATA("Összeg / "&amp;M$2,Telephely_összegzés!$A$1,"távhőrendszer",$A7),0)</f>
        <v>0</v>
      </c>
      <c r="N7" s="103">
        <f>IFERROR(GETPIVOTDATA("Összeg / "&amp;N$1,Egység_összegzés!$A$1,"rendszer",$A7)+GETPIVOTDATA("Összeg / "&amp;N$2,Telephely_összegzés!$A$1,"távhőrendszer",$A7),0)</f>
        <v>0</v>
      </c>
      <c r="O7" s="103">
        <f>IFERROR(GETPIVOTDATA("Összeg / "&amp;O$1,Egység_összegzés!$A$1,"rendszer",$A7)+GETPIVOTDATA("Összeg / "&amp;O$2,Telephely_összegzés!$A$1,"távhőrendszer",$A7),0)</f>
        <v>0</v>
      </c>
      <c r="Q7" s="117" t="e">
        <f t="shared" si="7"/>
        <v>#DIV/0!</v>
      </c>
      <c r="R7" s="117" t="e">
        <f t="shared" si="8"/>
        <v>#DIV/0!</v>
      </c>
      <c r="S7" s="117" t="e">
        <f t="shared" si="9"/>
        <v>#DIV/0!</v>
      </c>
      <c r="T7" s="117" t="e">
        <f t="shared" si="10"/>
        <v>#DIV/0!</v>
      </c>
      <c r="U7" s="116" t="e">
        <f t="shared" si="11"/>
        <v>#DIV/0!</v>
      </c>
    </row>
    <row r="8" spans="1:21" ht="17">
      <c r="A8" s="108"/>
      <c r="B8" s="94" t="str">
        <f t="shared" si="1"/>
        <v/>
      </c>
      <c r="C8" s="120" t="str">
        <f t="shared" si="2"/>
        <v/>
      </c>
      <c r="D8" s="94" t="str">
        <f t="shared" si="3"/>
        <v/>
      </c>
      <c r="E8" s="94" t="str">
        <f t="shared" si="4"/>
        <v/>
      </c>
      <c r="F8" s="115" t="str">
        <f t="shared" si="5"/>
        <v/>
      </c>
      <c r="G8" s="111">
        <f>IFERROR(GETPIVOTDATA("Összeg / Nettó kiadott hő (Qki) MWh",Egység_összegzés!$A$1,"rendszer",$A8),0)</f>
        <v>0</v>
      </c>
      <c r="H8" s="35"/>
      <c r="I8" s="35" t="s">
        <v>52</v>
      </c>
      <c r="J8" s="92" t="str">
        <f t="shared" si="12"/>
        <v/>
      </c>
      <c r="K8" s="93"/>
      <c r="L8" s="103">
        <f>IFERROR(GETPIVOTDATA("Összeg / "&amp;L$1,Egység_összegzés!$A$1,"rendszer",$A8)+GETPIVOTDATA("Összeg / "&amp;L$2,Telephely_összegzés!$A$1,"távhőrendszer",$A8),0)</f>
        <v>0</v>
      </c>
      <c r="M8" s="103">
        <f>IFERROR(GETPIVOTDATA("Összeg / "&amp;M$1,Egység_összegzés!$A$1,"rendszer",$A8)+GETPIVOTDATA("Összeg / "&amp;M$2,Telephely_összegzés!$A$1,"távhőrendszer",$A8),0)</f>
        <v>0</v>
      </c>
      <c r="N8" s="103">
        <f>IFERROR(GETPIVOTDATA("Összeg / "&amp;N$1,Egység_összegzés!$A$1,"rendszer",$A8)+GETPIVOTDATA("Összeg / "&amp;N$2,Telephely_összegzés!$A$1,"távhőrendszer",$A8),0)</f>
        <v>0</v>
      </c>
      <c r="O8" s="103">
        <f>IFERROR(GETPIVOTDATA("Összeg / "&amp;O$1,Egység_összegzés!$A$1,"rendszer",$A8)+GETPIVOTDATA("Összeg / "&amp;O$2,Telephely_összegzés!$A$1,"távhőrendszer",$A8),0)</f>
        <v>0</v>
      </c>
      <c r="Q8" s="117" t="e">
        <f t="shared" si="7"/>
        <v>#DIV/0!</v>
      </c>
      <c r="R8" s="117" t="e">
        <f t="shared" si="8"/>
        <v>#DIV/0!</v>
      </c>
      <c r="S8" s="117" t="e">
        <f t="shared" si="9"/>
        <v>#DIV/0!</v>
      </c>
      <c r="T8" s="117" t="e">
        <f t="shared" si="10"/>
        <v>#DIV/0!</v>
      </c>
      <c r="U8" s="116" t="e">
        <f t="shared" si="11"/>
        <v>#DIV/0!</v>
      </c>
    </row>
    <row r="9" spans="1:21" ht="17">
      <c r="A9" s="108"/>
      <c r="B9" s="94" t="str">
        <f t="shared" si="1"/>
        <v/>
      </c>
      <c r="C9" s="120" t="str">
        <f t="shared" si="2"/>
        <v/>
      </c>
      <c r="D9" s="94" t="str">
        <f t="shared" si="3"/>
        <v/>
      </c>
      <c r="E9" s="94" t="str">
        <f t="shared" si="4"/>
        <v/>
      </c>
      <c r="F9" s="115" t="str">
        <f t="shared" si="5"/>
        <v/>
      </c>
      <c r="G9" s="111">
        <f>IFERROR(GETPIVOTDATA("Összeg / Nettó kiadott hő (Qki) MWh",Egység_összegzés!$A$1,"rendszer",$A9),0)</f>
        <v>0</v>
      </c>
      <c r="H9" s="35"/>
      <c r="I9" s="35" t="s">
        <v>52</v>
      </c>
      <c r="J9" s="92" t="str">
        <f t="shared" si="12"/>
        <v/>
      </c>
      <c r="K9" s="93"/>
      <c r="L9" s="103">
        <f>IFERROR(GETPIVOTDATA("Összeg / "&amp;L$1,Egység_összegzés!$A$1,"rendszer",$A9)+GETPIVOTDATA("Összeg / "&amp;L$2,Telephely_összegzés!$A$1,"távhőrendszer",$A9),0)</f>
        <v>0</v>
      </c>
      <c r="M9" s="103">
        <f>IFERROR(GETPIVOTDATA("Összeg / "&amp;M$1,Egység_összegzés!$A$1,"rendszer",$A9)+GETPIVOTDATA("Összeg / "&amp;M$2,Telephely_összegzés!$A$1,"távhőrendszer",$A9),0)</f>
        <v>0</v>
      </c>
      <c r="N9" s="103">
        <f>IFERROR(GETPIVOTDATA("Összeg / "&amp;N$1,Egység_összegzés!$A$1,"rendszer",$A9)+GETPIVOTDATA("Összeg / "&amp;N$2,Telephely_összegzés!$A$1,"távhőrendszer",$A9),0)</f>
        <v>0</v>
      </c>
      <c r="O9" s="103">
        <f>IFERROR(GETPIVOTDATA("Összeg / "&amp;O$1,Egység_összegzés!$A$1,"rendszer",$A9)+GETPIVOTDATA("Összeg / "&amp;O$2,Telephely_összegzés!$A$1,"távhőrendszer",$A9),0)</f>
        <v>0</v>
      </c>
      <c r="Q9" s="117" t="e">
        <f t="shared" si="7"/>
        <v>#DIV/0!</v>
      </c>
      <c r="R9" s="117" t="e">
        <f t="shared" si="8"/>
        <v>#DIV/0!</v>
      </c>
      <c r="S9" s="117" t="e">
        <f t="shared" si="9"/>
        <v>#DIV/0!</v>
      </c>
      <c r="T9" s="117" t="e">
        <f t="shared" si="10"/>
        <v>#DIV/0!</v>
      </c>
      <c r="U9" s="116" t="e">
        <f t="shared" si="11"/>
        <v>#DIV/0!</v>
      </c>
    </row>
    <row r="10" spans="1:21" ht="17">
      <c r="A10" s="108"/>
      <c r="B10" s="94" t="str">
        <f t="shared" si="1"/>
        <v/>
      </c>
      <c r="C10" s="120" t="str">
        <f t="shared" si="2"/>
        <v/>
      </c>
      <c r="D10" s="94" t="str">
        <f t="shared" si="3"/>
        <v/>
      </c>
      <c r="E10" s="94" t="str">
        <f t="shared" si="4"/>
        <v/>
      </c>
      <c r="F10" s="115" t="str">
        <f t="shared" si="5"/>
        <v/>
      </c>
      <c r="G10" s="111">
        <f>IFERROR(GETPIVOTDATA("Összeg / Nettó kiadott hő (Qki) MWh",Egység_összegzés!$A$1,"rendszer",$A10),0)</f>
        <v>0</v>
      </c>
      <c r="H10" s="35"/>
      <c r="I10" s="35" t="s">
        <v>52</v>
      </c>
      <c r="J10" s="92" t="str">
        <f t="shared" si="12"/>
        <v/>
      </c>
      <c r="K10" s="93"/>
      <c r="L10" s="103">
        <f>IFERROR(GETPIVOTDATA("Összeg / "&amp;L$1,Egység_összegzés!$A$1,"rendszer",$A10)+GETPIVOTDATA("Összeg / "&amp;L$2,Telephely_összegzés!$A$1,"távhőrendszer",$A10),0)</f>
        <v>0</v>
      </c>
      <c r="M10" s="103">
        <f>IFERROR(GETPIVOTDATA("Összeg / "&amp;M$1,Egység_összegzés!$A$1,"rendszer",$A10)+GETPIVOTDATA("Összeg / "&amp;M$2,Telephely_összegzés!$A$1,"távhőrendszer",$A10),0)</f>
        <v>0</v>
      </c>
      <c r="N10" s="103">
        <f>IFERROR(GETPIVOTDATA("Összeg / "&amp;N$1,Egység_összegzés!$A$1,"rendszer",$A10)+GETPIVOTDATA("Összeg / "&amp;N$2,Telephely_összegzés!$A$1,"távhőrendszer",$A10),0)</f>
        <v>0</v>
      </c>
      <c r="O10" s="103">
        <f>IFERROR(GETPIVOTDATA("Összeg / "&amp;O$1,Egység_összegzés!$A$1,"rendszer",$A10)+GETPIVOTDATA("Összeg / "&amp;O$2,Telephely_összegzés!$A$1,"távhőrendszer",$A10),0)</f>
        <v>0</v>
      </c>
      <c r="Q10" s="117" t="e">
        <f t="shared" si="7"/>
        <v>#DIV/0!</v>
      </c>
      <c r="R10" s="117" t="e">
        <f t="shared" si="8"/>
        <v>#DIV/0!</v>
      </c>
      <c r="S10" s="117" t="e">
        <f t="shared" si="9"/>
        <v>#DIV/0!</v>
      </c>
      <c r="T10" s="117" t="e">
        <f t="shared" si="10"/>
        <v>#DIV/0!</v>
      </c>
      <c r="U10" s="116" t="e">
        <f t="shared" si="11"/>
        <v>#DIV/0!</v>
      </c>
    </row>
    <row r="11" spans="1:21" ht="17">
      <c r="A11" s="108"/>
      <c r="B11" s="94" t="str">
        <f t="shared" si="1"/>
        <v/>
      </c>
      <c r="C11" s="120" t="str">
        <f t="shared" si="2"/>
        <v/>
      </c>
      <c r="D11" s="94" t="str">
        <f t="shared" si="3"/>
        <v/>
      </c>
      <c r="E11" s="94" t="str">
        <f t="shared" si="4"/>
        <v/>
      </c>
      <c r="F11" s="115" t="str">
        <f t="shared" si="5"/>
        <v/>
      </c>
      <c r="G11" s="111">
        <f>IFERROR(GETPIVOTDATA("Összeg / Nettó kiadott hő (Qki) MWh",Egység_összegzés!$A$1,"rendszer",$A11),0)</f>
        <v>0</v>
      </c>
      <c r="H11" s="35"/>
      <c r="I11" s="35" t="s">
        <v>52</v>
      </c>
      <c r="J11" s="92" t="str">
        <f t="shared" si="12"/>
        <v/>
      </c>
      <c r="K11" s="93"/>
      <c r="L11" s="103">
        <f>IFERROR(GETPIVOTDATA("Összeg / "&amp;L$1,Egység_összegzés!$A$1,"rendszer",$A11)+GETPIVOTDATA("Összeg / "&amp;L$2,Telephely_összegzés!$A$1,"távhőrendszer",$A11),0)</f>
        <v>0</v>
      </c>
      <c r="M11" s="103">
        <f>IFERROR(GETPIVOTDATA("Összeg / "&amp;M$1,Egység_összegzés!$A$1,"rendszer",$A11)+GETPIVOTDATA("Összeg / "&amp;M$2,Telephely_összegzés!$A$1,"távhőrendszer",$A11),0)</f>
        <v>0</v>
      </c>
      <c r="N11" s="103">
        <f>IFERROR(GETPIVOTDATA("Összeg / "&amp;N$1,Egység_összegzés!$A$1,"rendszer",$A11)+GETPIVOTDATA("Összeg / "&amp;N$2,Telephely_összegzés!$A$1,"távhőrendszer",$A11),0)</f>
        <v>0</v>
      </c>
      <c r="O11" s="103">
        <f>IFERROR(GETPIVOTDATA("Összeg / "&amp;O$1,Egység_összegzés!$A$1,"rendszer",$A11)+GETPIVOTDATA("Összeg / "&amp;O$2,Telephely_összegzés!$A$1,"távhőrendszer",$A11),0)</f>
        <v>0</v>
      </c>
      <c r="Q11" s="117" t="e">
        <f t="shared" si="7"/>
        <v>#DIV/0!</v>
      </c>
      <c r="R11" s="117" t="e">
        <f t="shared" si="8"/>
        <v>#DIV/0!</v>
      </c>
      <c r="S11" s="117" t="e">
        <f t="shared" si="9"/>
        <v>#DIV/0!</v>
      </c>
      <c r="T11" s="117" t="e">
        <f t="shared" si="10"/>
        <v>#DIV/0!</v>
      </c>
      <c r="U11" s="116" t="e">
        <f t="shared" si="11"/>
        <v>#DIV/0!</v>
      </c>
    </row>
    <row r="12" spans="1:21" ht="17">
      <c r="A12" s="108"/>
      <c r="B12" s="94" t="str">
        <f t="shared" si="1"/>
        <v/>
      </c>
      <c r="C12" s="120" t="str">
        <f t="shared" si="2"/>
        <v/>
      </c>
      <c r="D12" s="94" t="str">
        <f t="shared" si="3"/>
        <v/>
      </c>
      <c r="E12" s="94" t="str">
        <f t="shared" si="4"/>
        <v/>
      </c>
      <c r="F12" s="115" t="str">
        <f t="shared" si="5"/>
        <v/>
      </c>
      <c r="G12" s="111">
        <f>IFERROR(GETPIVOTDATA("Összeg / Nettó kiadott hő (Qki) MWh",Egység_összegzés!$A$1,"rendszer",$A12),0)</f>
        <v>0</v>
      </c>
      <c r="H12" s="112"/>
      <c r="I12" s="35" t="s">
        <v>52</v>
      </c>
      <c r="J12" s="92" t="str">
        <f t="shared" si="12"/>
        <v/>
      </c>
      <c r="K12" s="93"/>
      <c r="L12" s="103">
        <f>IFERROR(GETPIVOTDATA("Összeg / "&amp;L$1,Egység_összegzés!$A$1,"rendszer",$A12)+GETPIVOTDATA("Összeg / "&amp;L$2,Telephely_összegzés!$A$1,"távhőrendszer",$A12),0)</f>
        <v>0</v>
      </c>
      <c r="M12" s="103">
        <f>IFERROR(GETPIVOTDATA("Összeg / "&amp;M$1,Egység_összegzés!$A$1,"rendszer",$A12)+GETPIVOTDATA("Összeg / "&amp;M$2,Telephely_összegzés!$A$1,"távhőrendszer",$A12),0)</f>
        <v>0</v>
      </c>
      <c r="N12" s="103">
        <f>IFERROR(GETPIVOTDATA("Összeg / "&amp;N$1,Egység_összegzés!$A$1,"rendszer",$A12)+GETPIVOTDATA("Összeg / "&amp;N$2,Telephely_összegzés!$A$1,"távhőrendszer",$A12),0)</f>
        <v>0</v>
      </c>
      <c r="O12" s="103">
        <f>IFERROR(GETPIVOTDATA("Összeg / "&amp;O$1,Egység_összegzés!$A$1,"rendszer",$A12)+GETPIVOTDATA("Összeg / "&amp;O$2,Telephely_összegzés!$A$1,"távhőrendszer",$A12),0)</f>
        <v>0</v>
      </c>
      <c r="Q12" s="117" t="e">
        <f t="shared" si="7"/>
        <v>#DIV/0!</v>
      </c>
      <c r="R12" s="117" t="e">
        <f t="shared" si="8"/>
        <v>#DIV/0!</v>
      </c>
      <c r="S12" s="117" t="e">
        <f t="shared" si="9"/>
        <v>#DIV/0!</v>
      </c>
      <c r="T12" s="117" t="e">
        <f t="shared" si="10"/>
        <v>#DIV/0!</v>
      </c>
      <c r="U12" s="116" t="e">
        <f t="shared" si="11"/>
        <v>#DIV/0!</v>
      </c>
    </row>
    <row r="13" spans="1:21" ht="17">
      <c r="A13" s="108"/>
      <c r="B13" s="94" t="str">
        <f t="shared" si="1"/>
        <v/>
      </c>
      <c r="C13" s="120" t="str">
        <f t="shared" si="2"/>
        <v/>
      </c>
      <c r="D13" s="94" t="str">
        <f t="shared" si="3"/>
        <v/>
      </c>
      <c r="E13" s="94" t="str">
        <f t="shared" si="4"/>
        <v/>
      </c>
      <c r="F13" s="115" t="str">
        <f t="shared" si="5"/>
        <v/>
      </c>
      <c r="G13" s="111">
        <f>IFERROR(GETPIVOTDATA("Összeg / Nettó kiadott hő (Qki) MWh",Egység_összegzés!$A$1,"rendszer",$A13),0)</f>
        <v>0</v>
      </c>
      <c r="H13" s="112"/>
      <c r="I13" s="35" t="s">
        <v>52</v>
      </c>
      <c r="J13" s="92" t="str">
        <f t="shared" si="12"/>
        <v/>
      </c>
      <c r="K13" s="93"/>
      <c r="L13" s="103">
        <f>IFERROR(GETPIVOTDATA("Összeg / "&amp;L$1,Egység_összegzés!$A$1,"rendszer",$A13)+GETPIVOTDATA("Összeg / "&amp;L$2,Telephely_összegzés!$A$1,"távhőrendszer",$A13),0)</f>
        <v>0</v>
      </c>
      <c r="M13" s="103">
        <f>IFERROR(GETPIVOTDATA("Összeg / "&amp;M$1,Egység_összegzés!$A$1,"rendszer",$A13)+GETPIVOTDATA("Összeg / "&amp;M$2,Telephely_összegzés!$A$1,"távhőrendszer",$A13),0)</f>
        <v>0</v>
      </c>
      <c r="N13" s="103">
        <f>IFERROR(GETPIVOTDATA("Összeg / "&amp;N$1,Egység_összegzés!$A$1,"rendszer",$A13)+GETPIVOTDATA("Összeg / "&amp;N$2,Telephely_összegzés!$A$1,"távhőrendszer",$A13),0)</f>
        <v>0</v>
      </c>
      <c r="O13" s="103">
        <f>IFERROR(GETPIVOTDATA("Összeg / "&amp;O$1,Egység_összegzés!$A$1,"rendszer",$A13)+GETPIVOTDATA("Összeg / "&amp;O$2,Telephely_összegzés!$A$1,"távhőrendszer",$A13),0)</f>
        <v>0</v>
      </c>
      <c r="Q13" s="117" t="e">
        <f t="shared" si="7"/>
        <v>#DIV/0!</v>
      </c>
      <c r="R13" s="117" t="e">
        <f t="shared" si="8"/>
        <v>#DIV/0!</v>
      </c>
      <c r="S13" s="117" t="e">
        <f t="shared" si="9"/>
        <v>#DIV/0!</v>
      </c>
      <c r="T13" s="117" t="e">
        <f t="shared" si="10"/>
        <v>#DIV/0!</v>
      </c>
      <c r="U13" s="116" t="e">
        <f t="shared" si="11"/>
        <v>#DIV/0!</v>
      </c>
    </row>
    <row r="14" spans="1:21" ht="17">
      <c r="A14" s="108"/>
      <c r="B14" s="94" t="str">
        <f t="shared" si="1"/>
        <v/>
      </c>
      <c r="C14" s="120" t="str">
        <f t="shared" si="2"/>
        <v/>
      </c>
      <c r="D14" s="94" t="str">
        <f t="shared" si="3"/>
        <v/>
      </c>
      <c r="E14" s="94" t="str">
        <f t="shared" si="4"/>
        <v/>
      </c>
      <c r="F14" s="115" t="str">
        <f t="shared" si="5"/>
        <v/>
      </c>
      <c r="G14" s="111">
        <f>IFERROR(GETPIVOTDATA("Összeg / Nettó kiadott hő (Qki) MWh",Egység_összegzés!$A$1,"rendszer",$A14),0)</f>
        <v>0</v>
      </c>
      <c r="H14" s="112"/>
      <c r="I14" s="35" t="s">
        <v>52</v>
      </c>
      <c r="J14" s="92" t="str">
        <f t="shared" si="12"/>
        <v/>
      </c>
      <c r="K14" s="93"/>
      <c r="L14" s="103">
        <f>IFERROR(GETPIVOTDATA("Összeg / "&amp;L$1,Egység_összegzés!$A$1,"rendszer",$A14)+GETPIVOTDATA("Összeg / "&amp;L$2,Telephely_összegzés!$A$1,"távhőrendszer",$A14),0)</f>
        <v>0</v>
      </c>
      <c r="M14" s="103">
        <f>IFERROR(GETPIVOTDATA("Összeg / "&amp;M$1,Egység_összegzés!$A$1,"rendszer",$A14)+GETPIVOTDATA("Összeg / "&amp;M$2,Telephely_összegzés!$A$1,"távhőrendszer",$A14),0)</f>
        <v>0</v>
      </c>
      <c r="N14" s="103">
        <f>IFERROR(GETPIVOTDATA("Összeg / "&amp;N$1,Egység_összegzés!$A$1,"rendszer",$A14)+GETPIVOTDATA("Összeg / "&amp;N$2,Telephely_összegzés!$A$1,"távhőrendszer",$A14),0)</f>
        <v>0</v>
      </c>
      <c r="O14" s="103">
        <f>IFERROR(GETPIVOTDATA("Összeg / "&amp;O$1,Egység_összegzés!$A$1,"rendszer",$A14)+GETPIVOTDATA("Összeg / "&amp;O$2,Telephely_összegzés!$A$1,"távhőrendszer",$A14),0)</f>
        <v>0</v>
      </c>
      <c r="Q14" s="117" t="e">
        <f t="shared" si="7"/>
        <v>#DIV/0!</v>
      </c>
      <c r="R14" s="117" t="e">
        <f t="shared" si="8"/>
        <v>#DIV/0!</v>
      </c>
      <c r="S14" s="117" t="e">
        <f t="shared" si="9"/>
        <v>#DIV/0!</v>
      </c>
      <c r="T14" s="117" t="e">
        <f t="shared" si="10"/>
        <v>#DIV/0!</v>
      </c>
      <c r="U14" s="116" t="e">
        <f t="shared" si="11"/>
        <v>#DIV/0!</v>
      </c>
    </row>
    <row r="15" spans="1:21" ht="17">
      <c r="A15" s="108"/>
      <c r="B15" s="94" t="str">
        <f t="shared" si="1"/>
        <v/>
      </c>
      <c r="C15" s="120" t="str">
        <f t="shared" si="2"/>
        <v/>
      </c>
      <c r="D15" s="94" t="str">
        <f t="shared" si="3"/>
        <v/>
      </c>
      <c r="E15" s="94" t="str">
        <f t="shared" si="4"/>
        <v/>
      </c>
      <c r="F15" s="115" t="str">
        <f t="shared" si="5"/>
        <v/>
      </c>
      <c r="G15" s="111">
        <f>IFERROR(GETPIVOTDATA("Összeg / Nettó kiadott hő (Qki) MWh",Egység_összegzés!$A$1,"rendszer",$A15),0)</f>
        <v>0</v>
      </c>
      <c r="H15" s="112"/>
      <c r="I15" s="35" t="s">
        <v>52</v>
      </c>
      <c r="J15" s="92" t="str">
        <f t="shared" si="12"/>
        <v/>
      </c>
      <c r="K15" s="93"/>
      <c r="L15" s="103">
        <f>IFERROR(GETPIVOTDATA("Összeg / "&amp;L$1,Egység_összegzés!$A$1,"rendszer",$A15)+GETPIVOTDATA("Összeg / "&amp;L$2,Telephely_összegzés!$A$1,"távhőrendszer",$A15),0)</f>
        <v>0</v>
      </c>
      <c r="M15" s="103">
        <f>IFERROR(GETPIVOTDATA("Összeg / "&amp;M$1,Egység_összegzés!$A$1,"rendszer",$A15)+GETPIVOTDATA("Összeg / "&amp;M$2,Telephely_összegzés!$A$1,"távhőrendszer",$A15),0)</f>
        <v>0</v>
      </c>
      <c r="N15" s="103">
        <f>IFERROR(GETPIVOTDATA("Összeg / "&amp;N$1,Egység_összegzés!$A$1,"rendszer",$A15)+GETPIVOTDATA("Összeg / "&amp;N$2,Telephely_összegzés!$A$1,"távhőrendszer",$A15),0)</f>
        <v>0</v>
      </c>
      <c r="O15" s="103">
        <f>IFERROR(GETPIVOTDATA("Összeg / "&amp;O$1,Egység_összegzés!$A$1,"rendszer",$A15)+GETPIVOTDATA("Összeg / "&amp;O$2,Telephely_összegzés!$A$1,"távhőrendszer",$A15),0)</f>
        <v>0</v>
      </c>
      <c r="Q15" s="117" t="e">
        <f t="shared" si="7"/>
        <v>#DIV/0!</v>
      </c>
      <c r="R15" s="117" t="e">
        <f t="shared" si="8"/>
        <v>#DIV/0!</v>
      </c>
      <c r="S15" s="117" t="e">
        <f t="shared" si="9"/>
        <v>#DIV/0!</v>
      </c>
      <c r="T15" s="117" t="e">
        <f t="shared" si="10"/>
        <v>#DIV/0!</v>
      </c>
      <c r="U15" s="116" t="e">
        <f t="shared" si="11"/>
        <v>#DIV/0!</v>
      </c>
    </row>
    <row r="16" spans="1:21">
      <c r="J16" s="91" t="str">
        <f t="shared" si="6"/>
        <v/>
      </c>
    </row>
    <row r="17" spans="10:10">
      <c r="J17" s="91" t="str">
        <f t="shared" si="6"/>
        <v/>
      </c>
    </row>
    <row r="18" spans="10:10">
      <c r="J18" s="91" t="str">
        <f t="shared" si="6"/>
        <v/>
      </c>
    </row>
    <row r="19" spans="10:10">
      <c r="J19" s="91" t="str">
        <f t="shared" si="6"/>
        <v/>
      </c>
    </row>
    <row r="20" spans="10:10">
      <c r="J20" s="91" t="str">
        <f t="shared" si="6"/>
        <v/>
      </c>
    </row>
    <row r="21" spans="10:10">
      <c r="J21" s="91" t="str">
        <f t="shared" si="6"/>
        <v/>
      </c>
    </row>
    <row r="22" spans="10:10">
      <c r="J22" s="91" t="str">
        <f t="shared" si="6"/>
        <v/>
      </c>
    </row>
    <row r="23" spans="10:10">
      <c r="J23" s="91" t="str">
        <f t="shared" si="6"/>
        <v/>
      </c>
    </row>
    <row r="24" spans="10:10">
      <c r="J24" s="91" t="str">
        <f t="shared" si="6"/>
        <v/>
      </c>
    </row>
  </sheetData>
  <mergeCells count="2">
    <mergeCell ref="Q2:T2"/>
    <mergeCell ref="B2:F2"/>
  </mergeCells>
  <dataValidations count="1">
    <dataValidation type="list" allowBlank="1" showInputMessage="1" showErrorMessage="1" sqref="I4:I1048576" xr:uid="{00000000-0002-0000-0000-000000000000}">
      <formula1>"GJ, MWh"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Y53"/>
  <sheetViews>
    <sheetView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A19" sqref="A19"/>
    </sheetView>
  </sheetViews>
  <sheetFormatPr baseColWidth="10" defaultColWidth="8.83203125" defaultRowHeight="15"/>
  <cols>
    <col min="1" max="1" width="22.6640625" bestFit="1" customWidth="1"/>
    <col min="2" max="2" width="28.33203125" bestFit="1" customWidth="1"/>
    <col min="3" max="3" width="14.1640625" bestFit="1" customWidth="1"/>
    <col min="4" max="4" width="13.33203125" bestFit="1" customWidth="1"/>
    <col min="5" max="5" width="14.33203125" bestFit="1" customWidth="1"/>
    <col min="6" max="6" width="15.83203125" bestFit="1" customWidth="1"/>
    <col min="7" max="7" width="23.5" bestFit="1" customWidth="1"/>
    <col min="8" max="8" width="13.5" customWidth="1"/>
    <col min="9" max="9" width="18.1640625" bestFit="1" customWidth="1"/>
    <col min="10" max="10" width="13" customWidth="1"/>
    <col min="11" max="11" width="28.33203125" customWidth="1"/>
    <col min="12" max="12" width="13" customWidth="1"/>
    <col min="13" max="13" width="11.1640625" bestFit="1" customWidth="1"/>
    <col min="14" max="14" width="8.5" style="46" customWidth="1"/>
    <col min="15" max="15" width="15.83203125" bestFit="1" customWidth="1"/>
    <col min="16" max="16" width="15.5" bestFit="1" customWidth="1"/>
    <col min="17" max="17" width="15.5" customWidth="1"/>
    <col min="18" max="18" width="9.83203125" bestFit="1" customWidth="1"/>
    <col min="19" max="19" width="15.33203125" bestFit="1" customWidth="1"/>
    <col min="20" max="20" width="9.5" customWidth="1"/>
    <col min="21" max="21" width="9" bestFit="1" customWidth="1"/>
    <col min="22" max="25" width="13.33203125" bestFit="1" customWidth="1"/>
  </cols>
  <sheetData>
    <row r="1" spans="1:25" ht="33">
      <c r="A1" s="72" t="s">
        <v>33</v>
      </c>
      <c r="B1" s="72" t="s">
        <v>34</v>
      </c>
      <c r="C1" s="85" t="s">
        <v>112</v>
      </c>
      <c r="D1" s="85" t="s">
        <v>115</v>
      </c>
      <c r="E1" s="86" t="s">
        <v>113</v>
      </c>
      <c r="F1" s="85" t="s">
        <v>114</v>
      </c>
      <c r="G1" s="49" t="s">
        <v>66</v>
      </c>
      <c r="H1" s="105" t="s">
        <v>148</v>
      </c>
      <c r="I1" s="54" t="s">
        <v>63</v>
      </c>
      <c r="J1" s="54" t="s">
        <v>62</v>
      </c>
      <c r="K1" s="5" t="s">
        <v>35</v>
      </c>
      <c r="L1" s="5" t="s">
        <v>62</v>
      </c>
      <c r="M1" s="49" t="s">
        <v>36</v>
      </c>
      <c r="N1" s="70" t="s">
        <v>30</v>
      </c>
      <c r="O1" s="4" t="s">
        <v>40</v>
      </c>
      <c r="P1" s="4" t="s">
        <v>109</v>
      </c>
      <c r="Q1" s="72" t="s">
        <v>110</v>
      </c>
      <c r="R1" s="72" t="s">
        <v>64</v>
      </c>
      <c r="S1" s="54" t="s">
        <v>67</v>
      </c>
      <c r="T1" s="72" t="s">
        <v>65</v>
      </c>
      <c r="U1" s="4" t="s">
        <v>111</v>
      </c>
      <c r="V1" s="55" t="s">
        <v>68</v>
      </c>
      <c r="W1" s="55" t="s">
        <v>69</v>
      </c>
      <c r="X1" s="56" t="s">
        <v>70</v>
      </c>
      <c r="Y1" s="55" t="s">
        <v>71</v>
      </c>
    </row>
    <row r="2" spans="1:25">
      <c r="A2" s="72" t="s">
        <v>156</v>
      </c>
      <c r="B2" s="72" t="s">
        <v>154</v>
      </c>
      <c r="C2" s="87">
        <f>IF($A2&lt;&gt;"",$Q2*V2,0)</f>
        <v>0</v>
      </c>
      <c r="D2" s="87">
        <f>IF($A2&lt;&gt;"",$Q2*W2,0)</f>
        <v>0</v>
      </c>
      <c r="E2" s="87">
        <f>IF($A2&lt;&gt;"",$Q2*X2,0)</f>
        <v>0</v>
      </c>
      <c r="F2" s="87">
        <f>IF($A2&lt;&gt;"",$Q2*Y2,0)</f>
        <v>0</v>
      </c>
      <c r="G2" s="107">
        <f>IF(A2&lt;&gt;"",CONVERT(GETPIVOTDATA("Összeg / Nettó kiadott hő (Qki) MWh",Egység_összegzés!$A$1,"telephely",$A2,"rendszer",$B2),"MWh",$H2),"")</f>
        <v>0</v>
      </c>
      <c r="H2" s="106" t="s">
        <v>52</v>
      </c>
      <c r="I2" s="69"/>
      <c r="J2" s="68" t="s">
        <v>52</v>
      </c>
      <c r="K2" s="71"/>
      <c r="L2" s="51" t="s">
        <v>52</v>
      </c>
      <c r="M2" s="79" t="str">
        <f>IFERROR((CONVERT(K2,L2,"MWh")+CONVERT(I2,J2,"MWh"))/CONVERT(I2,L2,"MWh"),"")</f>
        <v/>
      </c>
      <c r="N2" s="80">
        <v>1</v>
      </c>
      <c r="O2" s="52">
        <f>INDEX(alfa_vill.!$C$2:$C$4,MATCH(CONVERT(I2,J2,"kWh"),alfa_vill.!$A$2:$A$4,1))</f>
        <v>1.0999999999999999E-2</v>
      </c>
      <c r="P2" s="83">
        <f>+CONVERT(I2,J2,"MWh")*O2</f>
        <v>0</v>
      </c>
      <c r="Q2" s="84"/>
      <c r="R2" s="72">
        <v>0</v>
      </c>
      <c r="S2" s="72"/>
      <c r="T2" s="72">
        <v>0</v>
      </c>
      <c r="U2" s="53">
        <f>1-R2-T2</f>
        <v>1</v>
      </c>
      <c r="V2" s="113">
        <f>$R2*IFERROR(VLOOKUP(VLOOKUP($S2,Egységek!$B:$G,6,0),FUELS!$B$4:$F$19,2,0),0)/IFERROR(VLOOKUP($S2,Egységek!$B:$AA,26,0),1)+$T2*FUELS!C$5+$U2*FUELS!C$4</f>
        <v>2.2999999999999998</v>
      </c>
      <c r="W2" s="118">
        <f>+$R2*IFERROR(VLOOKUP(VLOOKUP($S2,Egységek!$B:$G,6,0),FUELS!$B$4:$F$19,3,0),0)/IFERROR(VLOOKUP(telephelyek!$S2,Egységek!$B:$AA,26,0),1)+$T2*FUELS!D$5+$U2*FUELS!D$4</f>
        <v>0.3</v>
      </c>
      <c r="X2" s="119">
        <f>+$R2*IFERROR(VLOOKUP(VLOOKUP($S2,Egységek!$B:$G,6,),FUELS!$B$4:$F$19,4,0),0)/IFERROR(VLOOKUP($S2,Egységek!$B:$AA,26,0),1)+$T2*FUELS!E$5+$U2*FUELS!E$4</f>
        <v>2.6</v>
      </c>
      <c r="Y2">
        <f>+$R2*IFERROR(VLOOKUP(VLOOKUP($S2,Egységek!$B:$G,6,),FUELS!$B$4:$F$19,5,0),0)/IFERROR(VLOOKUP($S2,Egységek!$B:$T,19,0),1)+$T2*FUELS!F$5+$U2*FUELS!F$4</f>
        <v>455</v>
      </c>
    </row>
    <row r="3" spans="1:25">
      <c r="A3" s="72" t="s">
        <v>157</v>
      </c>
      <c r="B3" s="72" t="s">
        <v>154</v>
      </c>
      <c r="C3" s="87">
        <f t="shared" ref="C3:C53" si="0">IF($A3&lt;&gt;"",$Q3*V3,0)</f>
        <v>0</v>
      </c>
      <c r="D3" s="87">
        <f t="shared" ref="D3:D53" si="1">IF($A3&lt;&gt;"",$Q3*W3,0)</f>
        <v>0</v>
      </c>
      <c r="E3" s="87">
        <f t="shared" ref="E3:E53" si="2">IF($A3&lt;&gt;"",$Q3*X3,0)</f>
        <v>0</v>
      </c>
      <c r="F3" s="87">
        <f t="shared" ref="F3:F53" si="3">IF($A3&lt;&gt;"",$Q3*Y3,0)</f>
        <v>0</v>
      </c>
      <c r="G3" s="107">
        <f>IF(A3&lt;&gt;"",CONVERT(GETPIVOTDATA("Összeg / Nettó kiadott hő (Qki) MWh",Egység_összegzés!$A$1,"telephely",$A3,"rendszer",$B3),"MWh",$H3),"")</f>
        <v>0</v>
      </c>
      <c r="H3" s="106" t="s">
        <v>52</v>
      </c>
      <c r="I3" s="69"/>
      <c r="J3" s="68" t="s">
        <v>52</v>
      </c>
      <c r="K3" s="71"/>
      <c r="L3" s="35" t="s">
        <v>52</v>
      </c>
      <c r="M3" s="79" t="str">
        <f t="shared" ref="M3:M53" si="4">IFERROR((CONVERT(K3,L3,"MWh")+CONVERT(I3,J3,"MWh"))/CONVERT(I3,L3,"MWh"),"")</f>
        <v/>
      </c>
      <c r="N3" s="81">
        <v>1</v>
      </c>
      <c r="O3" s="52">
        <f>INDEX(alfa_vill.!$C$2:$C$4,MATCH(CONVERT(I3,J3,"kWh"),alfa_vill.!$A$2:$A$4,1))</f>
        <v>1.0999999999999999E-2</v>
      </c>
      <c r="P3" s="83">
        <f>+CONVERT(I3,J3,"MWh")*O3</f>
        <v>0</v>
      </c>
      <c r="Q3" s="84"/>
      <c r="R3" s="72">
        <v>0</v>
      </c>
      <c r="S3" s="72"/>
      <c r="T3" s="72">
        <v>0</v>
      </c>
      <c r="U3" s="53">
        <f>1-R3-T3</f>
        <v>1</v>
      </c>
      <c r="V3" s="113">
        <f>$R3*IFERROR(VLOOKUP(VLOOKUP($S3,Egységek!$B:$G,6,0),FUELS!$B$4:$F$19,2,0),0)/IFERROR(VLOOKUP($S3,Egységek!$B:$AA,26,0),1)+$T3*FUELS!C$5+$U3*FUELS!C$4</f>
        <v>2.2999999999999998</v>
      </c>
      <c r="W3" s="118">
        <f>+$R3*IFERROR(VLOOKUP(VLOOKUP($S3,Egységek!$B:$G,6,0),FUELS!$B$4:$F$19,3,0),0)/IFERROR(VLOOKUP(telephelyek!$S3,Egységek!$B:$AA,26,0),1)+$T3*FUELS!D$5+$U3*FUELS!D$4</f>
        <v>0.3</v>
      </c>
      <c r="X3" s="119">
        <f>+$R3*IFERROR(VLOOKUP(VLOOKUP($S3,Egységek!$B:$G,6,),FUELS!$B$4:$F$19,4,0),0)/IFERROR(VLOOKUP($S3,Egységek!$B:$AA,26,0),1)+$T3*FUELS!E$5+$U3*FUELS!E$4</f>
        <v>2.6</v>
      </c>
      <c r="Y3">
        <f>+$R3*IFERROR(VLOOKUP(VLOOKUP($S3,Egységek!$B:$G,6,),FUELS!$B$4:$F$19,5,0),0)/IFERROR(VLOOKUP($S3,Egységek!$B:$T,19,0),1)+$T3*FUELS!F$5+$U3*FUELS!F$4</f>
        <v>455</v>
      </c>
    </row>
    <row r="4" spans="1:25">
      <c r="A4" s="72"/>
      <c r="B4" s="72"/>
      <c r="C4" s="87">
        <f t="shared" si="0"/>
        <v>0</v>
      </c>
      <c r="D4" s="87">
        <f t="shared" si="1"/>
        <v>0</v>
      </c>
      <c r="E4" s="87">
        <f t="shared" si="2"/>
        <v>0</v>
      </c>
      <c r="F4" s="87">
        <f t="shared" si="3"/>
        <v>0</v>
      </c>
      <c r="G4" s="107" t="str">
        <f>IF(A4&lt;&gt;"",CONVERT(GETPIVOTDATA("Összeg / Nettó kiadott hő (Qki) MWh",Egység_összegzés!$A$1,"telephely",$A4,"rendszer",$B4),"MWh",$H4),"")</f>
        <v/>
      </c>
      <c r="H4" s="106" t="s">
        <v>52</v>
      </c>
      <c r="I4" s="69"/>
      <c r="J4" s="68" t="s">
        <v>52</v>
      </c>
      <c r="K4" s="71"/>
      <c r="L4" s="35" t="s">
        <v>52</v>
      </c>
      <c r="M4" s="79" t="str">
        <f t="shared" si="4"/>
        <v/>
      </c>
      <c r="N4" s="81">
        <v>1</v>
      </c>
      <c r="O4" s="52">
        <f>INDEX(alfa_vill.!$C$2:$C$4,MATCH(CONVERT(I4,J4,"kWh"),alfa_vill.!$A$2:$A$4,1))</f>
        <v>1.0999999999999999E-2</v>
      </c>
      <c r="P4" s="83">
        <f t="shared" ref="P4:P53" si="5">+CONVERT(I4,J4,"MWh")*O4</f>
        <v>0</v>
      </c>
      <c r="Q4" s="84"/>
      <c r="R4" s="72">
        <v>0</v>
      </c>
      <c r="S4" s="72"/>
      <c r="T4" s="72">
        <v>0</v>
      </c>
      <c r="U4" s="53">
        <f t="shared" ref="U4:U53" si="6">1-R4-T4</f>
        <v>1</v>
      </c>
      <c r="V4" s="113">
        <f>$R4*IFERROR(VLOOKUP(VLOOKUP($S4,Egységek!$B:$G,6,0),FUELS!$B$4:$F$19,2,0),0)/IFERROR(VLOOKUP($S4,Egységek!$B:$AA,26,0),1)+$T4*FUELS!C$5+$U4*FUELS!C$4</f>
        <v>2.2999999999999998</v>
      </c>
      <c r="W4" s="118">
        <f>+$R4*IFERROR(VLOOKUP(VLOOKUP($S4,Egységek!$B:$G,6,0),FUELS!$B$4:$F$19,3,0),0)/IFERROR(VLOOKUP(telephelyek!$S4,Egységek!$B:$AA,26,0),1)+$T4*FUELS!D$5+$U4*FUELS!D$4</f>
        <v>0.3</v>
      </c>
      <c r="X4" s="119">
        <f>+$R4*IFERROR(VLOOKUP(VLOOKUP($S4,Egységek!$B:$G,6,),FUELS!$B$4:$F$19,4,0),0)/IFERROR(VLOOKUP($S4,Egységek!$B:$AA,26,0),1)+$T4*FUELS!E$5+$U4*FUELS!E$4</f>
        <v>2.6</v>
      </c>
      <c r="Y4">
        <f>+$R4*IFERROR(VLOOKUP(VLOOKUP($S4,Egységek!$B:$G,6,),FUELS!$B$4:$F$19,5,0),0)/IFERROR(VLOOKUP($S4,Egységek!$B:$T,19,0),1)+$T4*FUELS!F$5+$U4*FUELS!F$4</f>
        <v>455</v>
      </c>
    </row>
    <row r="5" spans="1:25">
      <c r="A5" s="72"/>
      <c r="B5" s="72"/>
      <c r="C5" s="87">
        <f t="shared" si="0"/>
        <v>0</v>
      </c>
      <c r="D5" s="87">
        <f t="shared" si="1"/>
        <v>0</v>
      </c>
      <c r="E5" s="87">
        <f t="shared" si="2"/>
        <v>0</v>
      </c>
      <c r="F5" s="87">
        <f t="shared" si="3"/>
        <v>0</v>
      </c>
      <c r="G5" s="107" t="str">
        <f>IF(A5&lt;&gt;"",CONVERT(GETPIVOTDATA("Összeg / Nettó kiadott hő (Qki) MWh",Egység_összegzés!$A$1,"telephely",$A5,"rendszer",$B5),"MWh",$H5),"")</f>
        <v/>
      </c>
      <c r="H5" s="106" t="s">
        <v>52</v>
      </c>
      <c r="I5" s="69"/>
      <c r="J5" s="68" t="s">
        <v>52</v>
      </c>
      <c r="K5" s="71"/>
      <c r="L5" s="35"/>
      <c r="M5" s="79" t="str">
        <f t="shared" si="4"/>
        <v/>
      </c>
      <c r="N5" s="81">
        <v>1</v>
      </c>
      <c r="O5" s="52">
        <f>INDEX(alfa_vill.!$C$2:$C$4,MATCH(CONVERT(I5,J5,"kWh"),alfa_vill.!$A$2:$A$4,1))</f>
        <v>1.0999999999999999E-2</v>
      </c>
      <c r="P5" s="83">
        <f t="shared" si="5"/>
        <v>0</v>
      </c>
      <c r="Q5" s="84"/>
      <c r="R5" s="72">
        <v>0</v>
      </c>
      <c r="S5" s="72"/>
      <c r="T5" s="72">
        <v>0</v>
      </c>
      <c r="U5" s="53">
        <f t="shared" si="6"/>
        <v>1</v>
      </c>
      <c r="V5" s="113">
        <f>$R5*IFERROR(VLOOKUP(VLOOKUP($S5,Egységek!$B:$G,6,0),FUELS!$B$4:$F$19,2,0),0)/IFERROR(VLOOKUP($S5,Egységek!$B:$AA,26,0),1)+$T5*FUELS!C$5+$U5*FUELS!C$4</f>
        <v>2.2999999999999998</v>
      </c>
      <c r="W5" s="118">
        <f>+$R5*IFERROR(VLOOKUP(VLOOKUP($S5,Egységek!$B:$G,6,0),FUELS!$B$4:$F$19,3,0),0)/IFERROR(VLOOKUP(telephelyek!$S5,Egységek!$B:$AA,26,0),1)+$T5*FUELS!D$5+$U5*FUELS!D$4</f>
        <v>0.3</v>
      </c>
      <c r="X5" s="119">
        <f>+$R5*IFERROR(VLOOKUP(VLOOKUP($S5,Egységek!$B:$G,6,),FUELS!$B$4:$F$19,4,0),0)/IFERROR(VLOOKUP($S5,Egységek!$B:$AA,26,0),1)+$T5*FUELS!E$5+$U5*FUELS!E$4</f>
        <v>2.6</v>
      </c>
      <c r="Y5">
        <f>+$R5*IFERROR(VLOOKUP(VLOOKUP($S5,Egységek!$B:$G,6,),FUELS!$B$4:$F$19,5,0),0)/IFERROR(VLOOKUP($S5,Egységek!$B:$T,19,0),1)+$T5*FUELS!F$5+$U5*FUELS!F$4</f>
        <v>455</v>
      </c>
    </row>
    <row r="6" spans="1:25">
      <c r="A6" s="72"/>
      <c r="B6" s="72"/>
      <c r="C6" s="87">
        <f t="shared" si="0"/>
        <v>0</v>
      </c>
      <c r="D6" s="87">
        <f t="shared" si="1"/>
        <v>0</v>
      </c>
      <c r="E6" s="87">
        <f t="shared" si="2"/>
        <v>0</v>
      </c>
      <c r="F6" s="87">
        <f t="shared" si="3"/>
        <v>0</v>
      </c>
      <c r="G6" s="107" t="str">
        <f>IF(A6&lt;&gt;"",CONVERT(GETPIVOTDATA("Összeg / Nettó kiadott hő (Qki) MWh",Egység_összegzés!$A$1,"telephely",$A6,"rendszer",$B6),"MWh",$H6),"")</f>
        <v/>
      </c>
      <c r="H6" s="106" t="s">
        <v>52</v>
      </c>
      <c r="I6" s="69"/>
      <c r="J6" s="68" t="s">
        <v>52</v>
      </c>
      <c r="K6" s="71"/>
      <c r="L6" s="35"/>
      <c r="M6" s="79" t="str">
        <f t="shared" si="4"/>
        <v/>
      </c>
      <c r="N6" s="81">
        <v>1</v>
      </c>
      <c r="O6" s="52">
        <f>INDEX(alfa_vill.!$C$2:$C$4,MATCH(CONVERT(I6,J6,"kWh"),alfa_vill.!$A$2:$A$4,1))</f>
        <v>1.0999999999999999E-2</v>
      </c>
      <c r="P6" s="83">
        <f t="shared" si="5"/>
        <v>0</v>
      </c>
      <c r="Q6" s="84"/>
      <c r="R6" s="72">
        <v>0</v>
      </c>
      <c r="S6" s="72"/>
      <c r="T6" s="72">
        <v>0</v>
      </c>
      <c r="U6" s="53">
        <f t="shared" si="6"/>
        <v>1</v>
      </c>
      <c r="V6" s="113">
        <f>$R6*IFERROR(VLOOKUP(VLOOKUP($S6,Egységek!$B:$G,6,0),FUELS!$B$4:$F$19,2,0),0)/IFERROR(VLOOKUP($S6,Egységek!$B:$AA,26,0),1)+$T6*FUELS!C$5+$U6*FUELS!C$4</f>
        <v>2.2999999999999998</v>
      </c>
      <c r="W6" s="118">
        <f>+$R6*IFERROR(VLOOKUP(VLOOKUP($S6,Egységek!$B:$G,6,0),FUELS!$B$4:$F$19,3,0),0)/IFERROR(VLOOKUP(telephelyek!$S6,Egységek!$B:$AA,26,0),1)+$T6*FUELS!D$5+$U6*FUELS!D$4</f>
        <v>0.3</v>
      </c>
      <c r="X6" s="119">
        <f>+$R6*IFERROR(VLOOKUP(VLOOKUP($S6,Egységek!$B:$G,6,),FUELS!$B$4:$F$19,4,0),0)/IFERROR(VLOOKUP($S6,Egységek!$B:$AA,26,0),1)+$T6*FUELS!E$5+$U6*FUELS!E$4</f>
        <v>2.6</v>
      </c>
      <c r="Y6">
        <f>+$R6*IFERROR(VLOOKUP(VLOOKUP($S6,Egységek!$B:$G,6,),FUELS!$B$4:$F$19,5,0),0)/IFERROR(VLOOKUP($S6,Egységek!$B:$T,19,0),1)+$T6*FUELS!F$5+$U6*FUELS!F$4</f>
        <v>455</v>
      </c>
    </row>
    <row r="7" spans="1:25">
      <c r="A7" s="72"/>
      <c r="B7" s="72"/>
      <c r="C7" s="87">
        <f t="shared" si="0"/>
        <v>0</v>
      </c>
      <c r="D7" s="87">
        <f t="shared" si="1"/>
        <v>0</v>
      </c>
      <c r="E7" s="87">
        <f t="shared" si="2"/>
        <v>0</v>
      </c>
      <c r="F7" s="87">
        <f t="shared" si="3"/>
        <v>0</v>
      </c>
      <c r="G7" s="107" t="str">
        <f>IF(A7&lt;&gt;"",CONVERT(GETPIVOTDATA("Összeg / Nettó kiadott hő (Qki) MWh",Egység_összegzés!$A$1,"telephely",$A7,"rendszer",$B7),"MWh",$H7),"")</f>
        <v/>
      </c>
      <c r="H7" s="106" t="s">
        <v>52</v>
      </c>
      <c r="I7" s="69"/>
      <c r="J7" s="68" t="s">
        <v>52</v>
      </c>
      <c r="K7" s="71"/>
      <c r="L7" s="35" t="s">
        <v>52</v>
      </c>
      <c r="M7" s="79" t="str">
        <f t="shared" si="4"/>
        <v/>
      </c>
      <c r="N7" s="81">
        <v>1</v>
      </c>
      <c r="O7" s="52">
        <f>INDEX(alfa_vill.!$C$2:$C$4,MATCH(CONVERT(I7,J7,"kWh"),alfa_vill.!$A$2:$A$4,1))</f>
        <v>1.0999999999999999E-2</v>
      </c>
      <c r="P7" s="83">
        <f t="shared" si="5"/>
        <v>0</v>
      </c>
      <c r="Q7" s="84"/>
      <c r="R7" s="72">
        <v>0</v>
      </c>
      <c r="S7" s="72"/>
      <c r="T7" s="72">
        <v>0</v>
      </c>
      <c r="U7" s="53">
        <f t="shared" si="6"/>
        <v>1</v>
      </c>
      <c r="V7" s="113">
        <f>$R7*IFERROR(VLOOKUP(VLOOKUP($S7,Egységek!$B:$G,6,0),FUELS!$B$4:$F$19,2,0),0)/IFERROR(VLOOKUP($S7,Egységek!$B:$AA,26,0),1)+$T7*FUELS!C$5+$U7*FUELS!C$4</f>
        <v>2.2999999999999998</v>
      </c>
      <c r="W7" s="118">
        <f>+$R7*IFERROR(VLOOKUP(VLOOKUP($S7,Egységek!$B:$G,6,0),FUELS!$B$4:$F$19,3,0),0)/IFERROR(VLOOKUP(telephelyek!$S7,Egységek!$B:$AA,26,0),1)+$T7*FUELS!D$5+$U7*FUELS!D$4</f>
        <v>0.3</v>
      </c>
      <c r="X7" s="119">
        <f>+$R7*IFERROR(VLOOKUP(VLOOKUP($S7,Egységek!$B:$G,6,),FUELS!$B$4:$F$19,4,0),0)/IFERROR(VLOOKUP($S7,Egységek!$B:$AA,26,0),1)+$T7*FUELS!E$5+$U7*FUELS!E$4</f>
        <v>2.6</v>
      </c>
      <c r="Y7">
        <f>+$R7*IFERROR(VLOOKUP(VLOOKUP($S7,Egységek!$B:$G,6,),FUELS!$B$4:$F$19,5,0),0)/IFERROR(VLOOKUP($S7,Egységek!$B:$T,19,0),1)+$T7*FUELS!F$5+$U7*FUELS!F$4</f>
        <v>455</v>
      </c>
    </row>
    <row r="8" spans="1:25">
      <c r="A8" s="72" t="s">
        <v>158</v>
      </c>
      <c r="B8" s="72" t="s">
        <v>155</v>
      </c>
      <c r="C8" s="87">
        <f t="shared" si="0"/>
        <v>0</v>
      </c>
      <c r="D8" s="87">
        <f t="shared" si="1"/>
        <v>0</v>
      </c>
      <c r="E8" s="87">
        <f t="shared" si="2"/>
        <v>0</v>
      </c>
      <c r="F8" s="87">
        <f t="shared" si="3"/>
        <v>0</v>
      </c>
      <c r="G8" s="107">
        <f>IF(A8&lt;&gt;"",CONVERT(GETPIVOTDATA("Összeg / Nettó kiadott hő (Qki) MWh",Egység_összegzés!$A$1,"telephely",$A8,"rendszer",$B8),"MWh",$H8),"")</f>
        <v>0</v>
      </c>
      <c r="H8" s="106" t="s">
        <v>52</v>
      </c>
      <c r="I8" s="69"/>
      <c r="J8" s="68" t="s">
        <v>52</v>
      </c>
      <c r="K8" s="71"/>
      <c r="L8" s="35" t="s">
        <v>52</v>
      </c>
      <c r="M8" s="79" t="str">
        <f t="shared" si="4"/>
        <v/>
      </c>
      <c r="N8" s="81">
        <v>1</v>
      </c>
      <c r="O8" s="52">
        <f>INDEX(alfa_vill.!$C$2:$C$4,MATCH(CONVERT(I8,J8,"kWh"),alfa_vill.!$A$2:$A$4,1))</f>
        <v>1.0999999999999999E-2</v>
      </c>
      <c r="P8" s="83">
        <f t="shared" si="5"/>
        <v>0</v>
      </c>
      <c r="Q8" s="84"/>
      <c r="R8" s="72">
        <v>0</v>
      </c>
      <c r="S8" s="72"/>
      <c r="T8" s="72">
        <v>0</v>
      </c>
      <c r="U8" s="53">
        <f t="shared" si="6"/>
        <v>1</v>
      </c>
      <c r="V8" s="113">
        <f>$R8*IFERROR(VLOOKUP(VLOOKUP($S8,Egységek!$B:$G,6,0),FUELS!$B$4:$F$19,2,0),0)/IFERROR(VLOOKUP($S8,Egységek!$B:$AA,26,0),1)+$T8*FUELS!C$5+$U8*FUELS!C$4</f>
        <v>2.2999999999999998</v>
      </c>
      <c r="W8" s="118">
        <f>+$R8*IFERROR(VLOOKUP(VLOOKUP($S8,Egységek!$B:$G,6,0),FUELS!$B$4:$F$19,3,0),0)/IFERROR(VLOOKUP(telephelyek!$S8,Egységek!$B:$AA,26,0),1)+$T8*FUELS!D$5+$U8*FUELS!D$4</f>
        <v>0.3</v>
      </c>
      <c r="X8" s="119">
        <f>+$R8*IFERROR(VLOOKUP(VLOOKUP($S8,Egységek!$B:$G,6,),FUELS!$B$4:$F$19,4,0),0)/IFERROR(VLOOKUP($S8,Egységek!$B:$AA,26,0),1)+$T8*FUELS!E$5+$U8*FUELS!E$4</f>
        <v>2.6</v>
      </c>
      <c r="Y8">
        <f>+$R8*IFERROR(VLOOKUP(VLOOKUP($S8,Egységek!$B:$G,6,),FUELS!$B$4:$F$19,5,0),0)/IFERROR(VLOOKUP($S8,Egységek!$B:$T,19,0),1)+$T8*FUELS!F$5+$U8*FUELS!F$4</f>
        <v>455</v>
      </c>
    </row>
    <row r="9" spans="1:25">
      <c r="A9" s="72" t="s">
        <v>159</v>
      </c>
      <c r="B9" s="72" t="s">
        <v>155</v>
      </c>
      <c r="C9" s="87">
        <f t="shared" si="0"/>
        <v>0</v>
      </c>
      <c r="D9" s="87">
        <f t="shared" si="1"/>
        <v>0</v>
      </c>
      <c r="E9" s="87">
        <f t="shared" si="2"/>
        <v>0</v>
      </c>
      <c r="F9" s="87">
        <f t="shared" si="3"/>
        <v>0</v>
      </c>
      <c r="G9" s="107">
        <f>IF(A9&lt;&gt;"",CONVERT(GETPIVOTDATA("Összeg / Nettó kiadott hő (Qki) MWh",Egység_összegzés!$A$1,"telephely",$A9,"rendszer",$B9),"MWh",$H9),"")</f>
        <v>0</v>
      </c>
      <c r="H9" s="106" t="s">
        <v>52</v>
      </c>
      <c r="I9" s="69"/>
      <c r="J9" s="68" t="s">
        <v>52</v>
      </c>
      <c r="K9" s="71"/>
      <c r="L9" s="35"/>
      <c r="M9" s="79" t="str">
        <f t="shared" si="4"/>
        <v/>
      </c>
      <c r="N9" s="81">
        <v>1</v>
      </c>
      <c r="O9" s="52">
        <f>INDEX(alfa_vill.!$C$2:$C$4,MATCH(CONVERT(I9,J9,"kWh"),alfa_vill.!$A$2:$A$4,1))</f>
        <v>1.0999999999999999E-2</v>
      </c>
      <c r="P9" s="83">
        <f t="shared" si="5"/>
        <v>0</v>
      </c>
      <c r="Q9" s="84"/>
      <c r="R9" s="72">
        <v>0</v>
      </c>
      <c r="S9" s="72"/>
      <c r="T9" s="72">
        <v>0</v>
      </c>
      <c r="U9" s="53">
        <f t="shared" si="6"/>
        <v>1</v>
      </c>
      <c r="V9" s="113">
        <f>$R9*IFERROR(VLOOKUP(VLOOKUP($S9,Egységek!$B:$G,6,0),FUELS!$B$4:$F$19,2,0),0)/IFERROR(VLOOKUP($S9,Egységek!$B:$AA,26,0),1)+$T9*FUELS!C$5+$U9*FUELS!C$4</f>
        <v>2.2999999999999998</v>
      </c>
      <c r="W9" s="118">
        <f>+$R9*IFERROR(VLOOKUP(VLOOKUP($S9,Egységek!$B:$G,6,0),FUELS!$B$4:$F$19,3,0),0)/IFERROR(VLOOKUP(telephelyek!$S9,Egységek!$B:$AA,26,0),1)+$T9*FUELS!D$5+$U9*FUELS!D$4</f>
        <v>0.3</v>
      </c>
      <c r="X9" s="119">
        <f>+$R9*IFERROR(VLOOKUP(VLOOKUP($S9,Egységek!$B:$G,6,),FUELS!$B$4:$F$19,4,0),0)/IFERROR(VLOOKUP($S9,Egységek!$B:$AA,26,0),1)+$T9*FUELS!E$5+$U9*FUELS!E$4</f>
        <v>2.6</v>
      </c>
      <c r="Y9">
        <f>+$R9*IFERROR(VLOOKUP(VLOOKUP($S9,Egységek!$B:$G,6,),FUELS!$B$4:$F$19,5,0),0)/IFERROR(VLOOKUP($S9,Egységek!$B:$T,19,0),1)+$T9*FUELS!F$5+$U9*FUELS!F$4</f>
        <v>455</v>
      </c>
    </row>
    <row r="10" spans="1:25">
      <c r="A10" s="72"/>
      <c r="B10" s="72"/>
      <c r="C10" s="87">
        <f t="shared" si="0"/>
        <v>0</v>
      </c>
      <c r="D10" s="87">
        <f t="shared" si="1"/>
        <v>0</v>
      </c>
      <c r="E10" s="87">
        <f t="shared" si="2"/>
        <v>0</v>
      </c>
      <c r="F10" s="87">
        <f t="shared" si="3"/>
        <v>0</v>
      </c>
      <c r="G10" s="107" t="str">
        <f>IF(A10&lt;&gt;"",CONVERT(GETPIVOTDATA("Összeg / Nettó kiadott hő (Qki) MWh",Egység_összegzés!$A$1,"telephely",$A10,"rendszer",$B10),"MWh",$H10),"")</f>
        <v/>
      </c>
      <c r="H10" s="106" t="s">
        <v>52</v>
      </c>
      <c r="I10" s="69"/>
      <c r="J10" s="68" t="s">
        <v>52</v>
      </c>
      <c r="K10" s="71"/>
      <c r="L10" s="35"/>
      <c r="M10" s="79" t="str">
        <f t="shared" si="4"/>
        <v/>
      </c>
      <c r="N10" s="81">
        <v>1</v>
      </c>
      <c r="O10" s="52">
        <f>INDEX(alfa_vill.!$C$2:$C$4,MATCH(CONVERT(I10,J10,"kWh"),alfa_vill.!$A$2:$A$4,1))</f>
        <v>1.0999999999999999E-2</v>
      </c>
      <c r="P10" s="83">
        <f t="shared" si="5"/>
        <v>0</v>
      </c>
      <c r="Q10" s="84"/>
      <c r="R10" s="72">
        <v>0</v>
      </c>
      <c r="S10" s="72"/>
      <c r="T10" s="72">
        <v>0</v>
      </c>
      <c r="U10" s="53">
        <f t="shared" si="6"/>
        <v>1</v>
      </c>
      <c r="V10" s="113">
        <f>$R10*IFERROR(VLOOKUP(VLOOKUP($S10,Egységek!$B:$G,6,0),FUELS!$B$4:$F$19,2,0),0)/IFERROR(VLOOKUP($S10,Egységek!$B:$AA,26,0),1)+$T10*FUELS!C$5+$U10*FUELS!C$4</f>
        <v>2.2999999999999998</v>
      </c>
      <c r="W10" s="118">
        <f>+$R10*IFERROR(VLOOKUP(VLOOKUP($S10,Egységek!$B:$G,6,0),FUELS!$B$4:$F$19,3,0),0)/IFERROR(VLOOKUP(telephelyek!$S10,Egységek!$B:$AA,26,0),1)+$T10*FUELS!D$5+$U10*FUELS!D$4</f>
        <v>0.3</v>
      </c>
      <c r="X10" s="119">
        <f>+$R10*IFERROR(VLOOKUP(VLOOKUP($S10,Egységek!$B:$G,6,),FUELS!$B$4:$F$19,4,0),0)/IFERROR(VLOOKUP($S10,Egységek!$B:$AA,26,0),1)+$T10*FUELS!E$5+$U10*FUELS!E$4</f>
        <v>2.6</v>
      </c>
      <c r="Y10">
        <f>+$R10*IFERROR(VLOOKUP(VLOOKUP($S10,Egységek!$B:$G,6,),FUELS!$B$4:$F$19,5,0),0)/IFERROR(VLOOKUP($S10,Egységek!$B:$T,19,0),1)+$T10*FUELS!F$5+$U10*FUELS!F$4</f>
        <v>455</v>
      </c>
    </row>
    <row r="11" spans="1:25">
      <c r="A11" s="72"/>
      <c r="B11" s="72"/>
      <c r="C11" s="87">
        <f t="shared" si="0"/>
        <v>0</v>
      </c>
      <c r="D11" s="87">
        <f t="shared" si="1"/>
        <v>0</v>
      </c>
      <c r="E11" s="87">
        <f t="shared" si="2"/>
        <v>0</v>
      </c>
      <c r="F11" s="87">
        <f t="shared" si="3"/>
        <v>0</v>
      </c>
      <c r="G11" s="107" t="str">
        <f>IF(A11&lt;&gt;"",CONVERT(GETPIVOTDATA("Összeg / Nettó kiadott hő (Qki) MWh",Egység_összegzés!$A$1,"telephely",$A11,"rendszer",$B11),"MWh",$H11),"")</f>
        <v/>
      </c>
      <c r="H11" s="106" t="s">
        <v>52</v>
      </c>
      <c r="I11" s="69"/>
      <c r="J11" s="68" t="s">
        <v>52</v>
      </c>
      <c r="K11" s="71"/>
      <c r="L11" s="35"/>
      <c r="M11" s="79" t="str">
        <f t="shared" si="4"/>
        <v/>
      </c>
      <c r="N11" s="81">
        <v>1</v>
      </c>
      <c r="O11" s="52">
        <f>INDEX(alfa_vill.!$C$2:$C$4,MATCH(CONVERT(I11,J11,"kWh"),alfa_vill.!$A$2:$A$4,1))</f>
        <v>1.0999999999999999E-2</v>
      </c>
      <c r="P11" s="83">
        <f t="shared" si="5"/>
        <v>0</v>
      </c>
      <c r="Q11" s="84"/>
      <c r="R11" s="72">
        <v>0</v>
      </c>
      <c r="S11" s="72"/>
      <c r="T11" s="72">
        <v>0</v>
      </c>
      <c r="U11" s="53">
        <f t="shared" si="6"/>
        <v>1</v>
      </c>
      <c r="V11" s="113">
        <f>$R11*IFERROR(VLOOKUP(VLOOKUP($S11,Egységek!$B:$G,6,0),FUELS!$B$4:$F$19,2,0),0)/IFERROR(VLOOKUP($S11,Egységek!$B:$AA,26,0),1)+$T11*FUELS!C$5+$U11*FUELS!C$4</f>
        <v>2.2999999999999998</v>
      </c>
      <c r="W11" s="118">
        <f>+$R11*IFERROR(VLOOKUP(VLOOKUP($S11,Egységek!$B:$G,6,0),FUELS!$B$4:$F$19,3,0),0)/IFERROR(VLOOKUP(telephelyek!$S11,Egységek!$B:$AA,26,0),1)+$T11*FUELS!D$5+$U11*FUELS!D$4</f>
        <v>0.3</v>
      </c>
      <c r="X11" s="119">
        <f>+$R11*IFERROR(VLOOKUP(VLOOKUP($S11,Egységek!$B:$G,6,),FUELS!$B$4:$F$19,4,0),0)/IFERROR(VLOOKUP($S11,Egységek!$B:$AA,26,0),1)+$T11*FUELS!E$5+$U11*FUELS!E$4</f>
        <v>2.6</v>
      </c>
      <c r="Y11">
        <f>+$R11*IFERROR(VLOOKUP(VLOOKUP($S11,Egységek!$B:$G,6,),FUELS!$B$4:$F$19,5,0),0)/IFERROR(VLOOKUP($S11,Egységek!$B:$T,19,0),1)+$T11*FUELS!F$5+$U11*FUELS!F$4</f>
        <v>455</v>
      </c>
    </row>
    <row r="12" spans="1:25">
      <c r="A12" s="72"/>
      <c r="B12" s="72"/>
      <c r="C12" s="87">
        <f t="shared" si="0"/>
        <v>0</v>
      </c>
      <c r="D12" s="87">
        <f t="shared" si="1"/>
        <v>0</v>
      </c>
      <c r="E12" s="87">
        <f t="shared" si="2"/>
        <v>0</v>
      </c>
      <c r="F12" s="87">
        <f t="shared" si="3"/>
        <v>0</v>
      </c>
      <c r="G12" s="107" t="str">
        <f>IF(A12&lt;&gt;"",CONVERT(GETPIVOTDATA("Összeg / Nettó kiadott hő (Qki) MWh",Egység_összegzés!$A$1,"telephely",$A12,"rendszer",$B12),"MWh",$H12),"")</f>
        <v/>
      </c>
      <c r="H12" s="106" t="s">
        <v>52</v>
      </c>
      <c r="I12" s="69"/>
      <c r="J12" s="68" t="s">
        <v>52</v>
      </c>
      <c r="K12" s="71"/>
      <c r="L12" s="35"/>
      <c r="M12" s="79" t="str">
        <f t="shared" si="4"/>
        <v/>
      </c>
      <c r="N12" s="81">
        <v>1</v>
      </c>
      <c r="O12" s="52">
        <f>INDEX(alfa_vill.!$C$2:$C$4,MATCH(CONVERT(I12,J12,"kWh"),alfa_vill.!$A$2:$A$4,1))</f>
        <v>1.0999999999999999E-2</v>
      </c>
      <c r="P12" s="83">
        <f t="shared" si="5"/>
        <v>0</v>
      </c>
      <c r="Q12" s="84"/>
      <c r="R12" s="72">
        <v>0</v>
      </c>
      <c r="S12" s="72"/>
      <c r="T12" s="72">
        <v>0</v>
      </c>
      <c r="U12" s="53">
        <f t="shared" si="6"/>
        <v>1</v>
      </c>
      <c r="V12" s="113">
        <f>$R12*IFERROR(VLOOKUP(VLOOKUP($S12,Egységek!$B:$G,6,0),FUELS!$B$4:$F$19,2,0),0)/IFERROR(VLOOKUP($S12,Egységek!$B:$AA,26,0),1)+$T12*FUELS!C$5+$U12*FUELS!C$4</f>
        <v>2.2999999999999998</v>
      </c>
      <c r="W12" s="118">
        <f>+$R12*IFERROR(VLOOKUP(VLOOKUP($S12,Egységek!$B:$G,6,0),FUELS!$B$4:$F$19,3,0),0)/IFERROR(VLOOKUP(telephelyek!$S12,Egységek!$B:$AA,26,0),1)+$T12*FUELS!D$5+$U12*FUELS!D$4</f>
        <v>0.3</v>
      </c>
      <c r="X12" s="119">
        <f>+$R12*IFERROR(VLOOKUP(VLOOKUP($S12,Egységek!$B:$G,6,),FUELS!$B$4:$F$19,4,0),0)/IFERROR(VLOOKUP($S12,Egységek!$B:$AA,26,0),1)+$T12*FUELS!E$5+$U12*FUELS!E$4</f>
        <v>2.6</v>
      </c>
      <c r="Y12">
        <f>+$R12*IFERROR(VLOOKUP(VLOOKUP($S12,Egységek!$B:$G,6,),FUELS!$B$4:$F$19,5,0),0)/IFERROR(VLOOKUP($S12,Egységek!$B:$T,19,0),1)+$T12*FUELS!F$5+$U12*FUELS!F$4</f>
        <v>455</v>
      </c>
    </row>
    <row r="13" spans="1:25">
      <c r="A13" s="72"/>
      <c r="B13" s="72"/>
      <c r="C13" s="87">
        <f t="shared" si="0"/>
        <v>0</v>
      </c>
      <c r="D13" s="87">
        <f t="shared" si="1"/>
        <v>0</v>
      </c>
      <c r="E13" s="87">
        <f t="shared" si="2"/>
        <v>0</v>
      </c>
      <c r="F13" s="87">
        <f t="shared" si="3"/>
        <v>0</v>
      </c>
      <c r="G13" s="107" t="str">
        <f>IF(A13&lt;&gt;"",CONVERT(GETPIVOTDATA("Összeg / Nettó kiadott hő (Qki) MWh",Egység_összegzés!$A$1,"telephely",$A13,"rendszer",$B13),"MWh",$H13),"")</f>
        <v/>
      </c>
      <c r="H13" s="106" t="s">
        <v>52</v>
      </c>
      <c r="I13" s="69"/>
      <c r="J13" s="68" t="s">
        <v>52</v>
      </c>
      <c r="K13" s="71"/>
      <c r="L13" s="35"/>
      <c r="M13" s="79" t="str">
        <f t="shared" si="4"/>
        <v/>
      </c>
      <c r="N13" s="81">
        <v>1</v>
      </c>
      <c r="O13" s="52">
        <f>INDEX(alfa_vill.!$C$2:$C$4,MATCH(CONVERT(I13,J13,"kWh"),alfa_vill.!$A$2:$A$4,1))</f>
        <v>1.0999999999999999E-2</v>
      </c>
      <c r="P13" s="83">
        <f t="shared" si="5"/>
        <v>0</v>
      </c>
      <c r="Q13" s="84"/>
      <c r="R13" s="72">
        <v>0</v>
      </c>
      <c r="S13" s="72"/>
      <c r="T13" s="72">
        <v>0</v>
      </c>
      <c r="U13" s="53">
        <f t="shared" si="6"/>
        <v>1</v>
      </c>
      <c r="V13" s="113">
        <f>$R13*IFERROR(VLOOKUP(VLOOKUP($S13,Egységek!$B:$G,6,0),FUELS!$B$4:$F$19,2,0),0)/IFERROR(VLOOKUP($S13,Egységek!$B:$AA,26,0),1)+$T13*FUELS!C$5+$U13*FUELS!C$4</f>
        <v>2.2999999999999998</v>
      </c>
      <c r="W13" s="118">
        <f>+$R13*IFERROR(VLOOKUP(VLOOKUP($S13,Egységek!$B:$G,6,0),FUELS!$B$4:$F$19,3,0),0)/IFERROR(VLOOKUP(telephelyek!$S13,Egységek!$B:$AA,26,0),1)+$T13*FUELS!D$5+$U13*FUELS!D$4</f>
        <v>0.3</v>
      </c>
      <c r="X13" s="119">
        <f>+$R13*IFERROR(VLOOKUP(VLOOKUP($S13,Egységek!$B:$G,6,),FUELS!$B$4:$F$19,4,0),0)/IFERROR(VLOOKUP($S13,Egységek!$B:$AA,26,0),1)+$T13*FUELS!E$5+$U13*FUELS!E$4</f>
        <v>2.6</v>
      </c>
      <c r="Y13">
        <f>+$R13*IFERROR(VLOOKUP(VLOOKUP($S13,Egységek!$B:$G,6,),FUELS!$B$4:$F$19,5,0),0)/IFERROR(VLOOKUP($S13,Egységek!$B:$T,19,0),1)+$T13*FUELS!F$5+$U13*FUELS!F$4</f>
        <v>455</v>
      </c>
    </row>
    <row r="14" spans="1:25">
      <c r="A14" s="72"/>
      <c r="B14" s="72"/>
      <c r="C14" s="87">
        <f t="shared" si="0"/>
        <v>0</v>
      </c>
      <c r="D14" s="87">
        <f t="shared" si="1"/>
        <v>0</v>
      </c>
      <c r="E14" s="87">
        <f t="shared" si="2"/>
        <v>0</v>
      </c>
      <c r="F14" s="87">
        <f t="shared" si="3"/>
        <v>0</v>
      </c>
      <c r="G14" s="107" t="str">
        <f>IF(A14&lt;&gt;"",CONVERT(GETPIVOTDATA("Összeg / Nettó kiadott hő (Qki) MWh",Egység_összegzés!$A$1,"telephely",$A14,"rendszer",$B14),"MWh",$H14),"")</f>
        <v/>
      </c>
      <c r="H14" s="106" t="s">
        <v>52</v>
      </c>
      <c r="I14" s="69"/>
      <c r="J14" s="68" t="s">
        <v>52</v>
      </c>
      <c r="K14" s="71"/>
      <c r="L14" s="35"/>
      <c r="M14" s="79" t="str">
        <f t="shared" si="4"/>
        <v/>
      </c>
      <c r="N14" s="81">
        <v>1</v>
      </c>
      <c r="O14" s="52">
        <f>INDEX(alfa_vill.!$C$2:$C$4,MATCH(CONVERT(I14,J14,"kWh"),alfa_vill.!$A$2:$A$4,1))</f>
        <v>1.0999999999999999E-2</v>
      </c>
      <c r="P14" s="83">
        <f t="shared" si="5"/>
        <v>0</v>
      </c>
      <c r="Q14" s="84"/>
      <c r="R14" s="72">
        <v>0</v>
      </c>
      <c r="S14" s="72"/>
      <c r="T14" s="72">
        <v>0</v>
      </c>
      <c r="U14" s="53">
        <f t="shared" si="6"/>
        <v>1</v>
      </c>
      <c r="V14" s="113">
        <f>$R14*IFERROR(VLOOKUP(VLOOKUP($S14,Egységek!$B:$G,6,0),FUELS!$B$4:$F$19,2,0),0)/IFERROR(VLOOKUP($S14,Egységek!$B:$AA,26,0),1)+$T14*FUELS!C$5+$U14*FUELS!C$4</f>
        <v>2.2999999999999998</v>
      </c>
      <c r="W14" s="118">
        <f>+$R14*IFERROR(VLOOKUP(VLOOKUP($S14,Egységek!$B:$G,6,0),FUELS!$B$4:$F$19,3,0),0)/IFERROR(VLOOKUP(telephelyek!$S14,Egységek!$B:$AA,26,0),1)+$T14*FUELS!D$5+$U14*FUELS!D$4</f>
        <v>0.3</v>
      </c>
      <c r="X14" s="119">
        <f>+$R14*IFERROR(VLOOKUP(VLOOKUP($S14,Egységek!$B:$G,6,),FUELS!$B$4:$F$19,4,0),0)/IFERROR(VLOOKUP($S14,Egységek!$B:$AA,26,0),1)+$T14*FUELS!E$5+$U14*FUELS!E$4</f>
        <v>2.6</v>
      </c>
      <c r="Y14">
        <f>+$R14*IFERROR(VLOOKUP(VLOOKUP($S14,Egységek!$B:$G,6,),FUELS!$B$4:$F$19,5,0),0)/IFERROR(VLOOKUP($S14,Egységek!$B:$T,19,0),1)+$T14*FUELS!F$5+$U14*FUELS!F$4</f>
        <v>455</v>
      </c>
    </row>
    <row r="15" spans="1:25">
      <c r="A15" s="72"/>
      <c r="B15" s="72"/>
      <c r="C15" s="87">
        <f t="shared" si="0"/>
        <v>0</v>
      </c>
      <c r="D15" s="87">
        <f t="shared" si="1"/>
        <v>0</v>
      </c>
      <c r="E15" s="87">
        <f t="shared" si="2"/>
        <v>0</v>
      </c>
      <c r="F15" s="87">
        <f t="shared" si="3"/>
        <v>0</v>
      </c>
      <c r="G15" s="107" t="str">
        <f>IF(A15&lt;&gt;"",CONVERT(GETPIVOTDATA("Összeg / Nettó kiadott hő (Qki) MWh",Egység_összegzés!$A$1,"telephely",$A15,"rendszer",$B15),"MWh",$H15),"")</f>
        <v/>
      </c>
      <c r="H15" s="106" t="s">
        <v>52</v>
      </c>
      <c r="I15" s="69"/>
      <c r="J15" s="68" t="s">
        <v>52</v>
      </c>
      <c r="K15" s="71"/>
      <c r="L15" s="35"/>
      <c r="M15" s="79" t="str">
        <f t="shared" si="4"/>
        <v/>
      </c>
      <c r="N15" s="81">
        <v>1</v>
      </c>
      <c r="O15" s="52">
        <f>INDEX(alfa_vill.!$C$2:$C$4,MATCH(CONVERT(I15,J15,"kWh"),alfa_vill.!$A$2:$A$4,1))</f>
        <v>1.0999999999999999E-2</v>
      </c>
      <c r="P15" s="83">
        <f t="shared" si="5"/>
        <v>0</v>
      </c>
      <c r="Q15" s="84"/>
      <c r="R15" s="72">
        <v>0</v>
      </c>
      <c r="S15" s="72"/>
      <c r="T15" s="72">
        <v>0</v>
      </c>
      <c r="U15" s="53">
        <f t="shared" si="6"/>
        <v>1</v>
      </c>
      <c r="V15" s="113">
        <f>$R15*IFERROR(VLOOKUP(VLOOKUP($S15,Egységek!$B:$G,6,0),FUELS!$B$4:$F$19,2,0),0)/IFERROR(VLOOKUP($S15,Egységek!$B:$AA,26,0),1)+$T15*FUELS!C$5+$U15*FUELS!C$4</f>
        <v>2.2999999999999998</v>
      </c>
      <c r="W15" s="118">
        <f>+$R15*IFERROR(VLOOKUP(VLOOKUP($S15,Egységek!$B:$G,6,0),FUELS!$B$4:$F$19,3,0),0)/IFERROR(VLOOKUP(telephelyek!$S15,Egységek!$B:$AA,26,0),1)+$T15*FUELS!D$5+$U15*FUELS!D$4</f>
        <v>0.3</v>
      </c>
      <c r="X15" s="119">
        <f>+$R15*IFERROR(VLOOKUP(VLOOKUP($S15,Egységek!$B:$G,6,),FUELS!$B$4:$F$19,4,0),0)/IFERROR(VLOOKUP($S15,Egységek!$B:$AA,26,0),1)+$T15*FUELS!E$5+$U15*FUELS!E$4</f>
        <v>2.6</v>
      </c>
      <c r="Y15">
        <f>+$R15*IFERROR(VLOOKUP(VLOOKUP($S15,Egységek!$B:$G,6,),FUELS!$B$4:$F$19,5,0),0)/IFERROR(VLOOKUP($S15,Egységek!$B:$T,19,0),1)+$T15*FUELS!F$5+$U15*FUELS!F$4</f>
        <v>455</v>
      </c>
    </row>
    <row r="16" spans="1:25">
      <c r="A16" s="72"/>
      <c r="B16" s="72"/>
      <c r="C16" s="87">
        <f t="shared" si="0"/>
        <v>0</v>
      </c>
      <c r="D16" s="87">
        <f t="shared" si="1"/>
        <v>0</v>
      </c>
      <c r="E16" s="87">
        <f t="shared" si="2"/>
        <v>0</v>
      </c>
      <c r="F16" s="87">
        <f t="shared" si="3"/>
        <v>0</v>
      </c>
      <c r="G16" s="107" t="str">
        <f>IF(A16&lt;&gt;"",CONVERT(GETPIVOTDATA("Összeg / Nettó kiadott hő (Qki) MWh",Egység_összegzés!$A$1,"telephely",$A16,"rendszer",$B16),"MWh",$H16),"")</f>
        <v/>
      </c>
      <c r="H16" s="106" t="s">
        <v>52</v>
      </c>
      <c r="I16" s="69"/>
      <c r="J16" s="68" t="s">
        <v>52</v>
      </c>
      <c r="K16" s="71"/>
      <c r="L16" s="35"/>
      <c r="M16" s="79" t="str">
        <f t="shared" si="4"/>
        <v/>
      </c>
      <c r="N16" s="81">
        <v>1</v>
      </c>
      <c r="O16" s="52">
        <f>INDEX(alfa_vill.!$C$2:$C$4,MATCH(CONVERT(I16,J16,"kWh"),alfa_vill.!$A$2:$A$4,1))</f>
        <v>1.0999999999999999E-2</v>
      </c>
      <c r="P16" s="83">
        <f t="shared" si="5"/>
        <v>0</v>
      </c>
      <c r="Q16" s="84"/>
      <c r="R16" s="72">
        <v>0</v>
      </c>
      <c r="S16" s="72"/>
      <c r="T16" s="72">
        <v>0</v>
      </c>
      <c r="U16" s="53">
        <f t="shared" si="6"/>
        <v>1</v>
      </c>
      <c r="V16" s="113">
        <f>$R16*IFERROR(VLOOKUP(VLOOKUP($S16,Egységek!$B:$G,6,0),FUELS!$B$4:$F$19,2,0),0)/IFERROR(VLOOKUP($S16,Egységek!$B:$AA,26,0),1)+$T16*FUELS!C$5+$U16*FUELS!C$4</f>
        <v>2.2999999999999998</v>
      </c>
      <c r="W16" s="118">
        <f>+$R16*IFERROR(VLOOKUP(VLOOKUP($S16,Egységek!$B:$G,6,0),FUELS!$B$4:$F$19,3,0),0)/IFERROR(VLOOKUP(telephelyek!$S16,Egységek!$B:$AA,26,0),1)+$T16*FUELS!D$5+$U16*FUELS!D$4</f>
        <v>0.3</v>
      </c>
      <c r="X16" s="119">
        <f>+$R16*IFERROR(VLOOKUP(VLOOKUP($S16,Egységek!$B:$G,6,),FUELS!$B$4:$F$19,4,0),0)/IFERROR(VLOOKUP($S16,Egységek!$B:$AA,26,0),1)+$T16*FUELS!E$5+$U16*FUELS!E$4</f>
        <v>2.6</v>
      </c>
      <c r="Y16">
        <f>+$R16*IFERROR(VLOOKUP(VLOOKUP($S16,Egységek!$B:$G,6,),FUELS!$B$4:$F$19,5,0),0)/IFERROR(VLOOKUP($S16,Egységek!$B:$T,19,0),1)+$T16*FUELS!F$5+$U16*FUELS!F$4</f>
        <v>455</v>
      </c>
    </row>
    <row r="17" spans="1:25">
      <c r="A17" s="72"/>
      <c r="B17" s="72"/>
      <c r="C17" s="87">
        <f t="shared" si="0"/>
        <v>0</v>
      </c>
      <c r="D17" s="87">
        <f t="shared" si="1"/>
        <v>0</v>
      </c>
      <c r="E17" s="87">
        <f t="shared" si="2"/>
        <v>0</v>
      </c>
      <c r="F17" s="87">
        <f t="shared" si="3"/>
        <v>0</v>
      </c>
      <c r="G17" s="107" t="str">
        <f>IF(A17&lt;&gt;"",CONVERT(GETPIVOTDATA("Összeg / Nettó kiadott hő (Qki) MWh",Egység_összegzés!$A$1,"telephely",$A17,"rendszer",$B17),"MWh",$H17),"")</f>
        <v/>
      </c>
      <c r="H17" s="106" t="s">
        <v>52</v>
      </c>
      <c r="I17" s="69"/>
      <c r="J17" s="68" t="s">
        <v>52</v>
      </c>
      <c r="K17" s="71"/>
      <c r="L17" s="35"/>
      <c r="M17" s="79" t="str">
        <f t="shared" si="4"/>
        <v/>
      </c>
      <c r="N17" s="81">
        <v>1</v>
      </c>
      <c r="O17" s="52">
        <f>INDEX(alfa_vill.!$C$2:$C$4,MATCH(CONVERT(I17,J17,"kWh"),alfa_vill.!$A$2:$A$4,1))</f>
        <v>1.0999999999999999E-2</v>
      </c>
      <c r="P17" s="83">
        <f t="shared" si="5"/>
        <v>0</v>
      </c>
      <c r="Q17" s="84"/>
      <c r="R17" s="72">
        <v>0</v>
      </c>
      <c r="S17" s="72"/>
      <c r="T17" s="72">
        <v>0</v>
      </c>
      <c r="U17" s="53">
        <f t="shared" si="6"/>
        <v>1</v>
      </c>
      <c r="V17" s="113">
        <f>$R17*IFERROR(VLOOKUP(VLOOKUP($S17,Egységek!$B:$G,6,0),FUELS!$B$4:$F$19,2,0),0)/IFERROR(VLOOKUP($S17,Egységek!$B:$AA,26,0),1)+$T17*FUELS!C$5+$U17*FUELS!C$4</f>
        <v>2.2999999999999998</v>
      </c>
      <c r="W17" s="118">
        <f>+$R17*IFERROR(VLOOKUP(VLOOKUP($S17,Egységek!$B:$G,6,0),FUELS!$B$4:$F$19,3,0),0)/IFERROR(VLOOKUP(telephelyek!$S17,Egységek!$B:$AA,26,0),1)+$T17*FUELS!D$5+$U17*FUELS!D$4</f>
        <v>0.3</v>
      </c>
      <c r="X17" s="119">
        <f>+$R17*IFERROR(VLOOKUP(VLOOKUP($S17,Egységek!$B:$G,6,),FUELS!$B$4:$F$19,4,0),0)/IFERROR(VLOOKUP($S17,Egységek!$B:$AA,26,0),1)+$T17*FUELS!E$5+$U17*FUELS!E$4</f>
        <v>2.6</v>
      </c>
      <c r="Y17">
        <f>+$R17*IFERROR(VLOOKUP(VLOOKUP($S17,Egységek!$B:$G,6,),FUELS!$B$4:$F$19,5,0),0)/IFERROR(VLOOKUP($S17,Egységek!$B:$T,19,0),1)+$T17*FUELS!F$5+$U17*FUELS!F$4</f>
        <v>455</v>
      </c>
    </row>
    <row r="18" spans="1:25">
      <c r="A18" s="72"/>
      <c r="B18" s="72"/>
      <c r="C18" s="87">
        <f t="shared" si="0"/>
        <v>0</v>
      </c>
      <c r="D18" s="87">
        <f t="shared" si="1"/>
        <v>0</v>
      </c>
      <c r="E18" s="87">
        <f t="shared" si="2"/>
        <v>0</v>
      </c>
      <c r="F18" s="87">
        <f t="shared" si="3"/>
        <v>0</v>
      </c>
      <c r="G18" s="107" t="str">
        <f>IF(A18&lt;&gt;"",CONVERT(GETPIVOTDATA("Összeg / Nettó kiadott hő (Qki) MWh",Egység_összegzés!$A$1,"telephely",$A18,"rendszer",$B18),"MWh",$H18),"")</f>
        <v/>
      </c>
      <c r="H18" s="106" t="s">
        <v>52</v>
      </c>
      <c r="I18" s="69"/>
      <c r="J18" s="68" t="s">
        <v>52</v>
      </c>
      <c r="K18" s="71"/>
      <c r="L18" s="35"/>
      <c r="M18" s="79" t="str">
        <f t="shared" si="4"/>
        <v/>
      </c>
      <c r="N18" s="81">
        <v>1</v>
      </c>
      <c r="O18" s="52">
        <f>INDEX(alfa_vill.!$C$2:$C$4,MATCH(CONVERT(I18,J18,"kWh"),alfa_vill.!$A$2:$A$4,1))</f>
        <v>1.0999999999999999E-2</v>
      </c>
      <c r="P18" s="83">
        <f t="shared" si="5"/>
        <v>0</v>
      </c>
      <c r="Q18" s="84"/>
      <c r="R18" s="72">
        <v>0</v>
      </c>
      <c r="S18" s="72"/>
      <c r="T18" s="72">
        <v>0</v>
      </c>
      <c r="U18" s="53">
        <f t="shared" si="6"/>
        <v>1</v>
      </c>
      <c r="V18" s="113">
        <f>$R18*IFERROR(VLOOKUP(VLOOKUP($S18,Egységek!$B:$G,6,0),FUELS!$B$4:$F$19,2,0),0)/IFERROR(VLOOKUP($S18,Egységek!$B:$AA,26,0),1)+$T18*FUELS!C$5+$U18*FUELS!C$4</f>
        <v>2.2999999999999998</v>
      </c>
      <c r="W18" s="118">
        <f>+$R18*IFERROR(VLOOKUP(VLOOKUP($S18,Egységek!$B:$G,6,0),FUELS!$B$4:$F$19,3,0),0)/IFERROR(VLOOKUP(telephelyek!$S18,Egységek!$B:$AA,26,0),1)+$T18*FUELS!D$5+$U18*FUELS!D$4</f>
        <v>0.3</v>
      </c>
      <c r="X18" s="119">
        <f>+$R18*IFERROR(VLOOKUP(VLOOKUP($S18,Egységek!$B:$G,6,),FUELS!$B$4:$F$19,4,0),0)/IFERROR(VLOOKUP($S18,Egységek!$B:$AA,26,0),1)+$T18*FUELS!E$5+$U18*FUELS!E$4</f>
        <v>2.6</v>
      </c>
      <c r="Y18">
        <f>+$R18*IFERROR(VLOOKUP(VLOOKUP($S18,Egységek!$B:$G,6,),FUELS!$B$4:$F$19,5,0),0)/IFERROR(VLOOKUP($S18,Egységek!$B:$T,19,0),1)+$T18*FUELS!F$5+$U18*FUELS!F$4</f>
        <v>455</v>
      </c>
    </row>
    <row r="19" spans="1:25">
      <c r="A19" s="72"/>
      <c r="B19" s="72"/>
      <c r="C19" s="87">
        <f t="shared" si="0"/>
        <v>0</v>
      </c>
      <c r="D19" s="87">
        <f t="shared" si="1"/>
        <v>0</v>
      </c>
      <c r="E19" s="87">
        <f t="shared" si="2"/>
        <v>0</v>
      </c>
      <c r="F19" s="87">
        <f t="shared" si="3"/>
        <v>0</v>
      </c>
      <c r="G19" s="107" t="str">
        <f>IF(A19&lt;&gt;"",CONVERT(GETPIVOTDATA("Összeg / Nettó kiadott hő (Qki) MWh",Egység_összegzés!$A$1,"telephely",$A19,"rendszer",$B19),"MWh",$H19),"")</f>
        <v/>
      </c>
      <c r="H19" s="106" t="s">
        <v>52</v>
      </c>
      <c r="I19" s="69"/>
      <c r="J19" s="68" t="s">
        <v>52</v>
      </c>
      <c r="K19" s="71"/>
      <c r="L19" s="35"/>
      <c r="M19" s="79" t="str">
        <f t="shared" si="4"/>
        <v/>
      </c>
      <c r="N19" s="81">
        <v>1</v>
      </c>
      <c r="O19" s="52">
        <f>INDEX(alfa_vill.!$C$2:$C$4,MATCH(CONVERT(I19,J19,"kWh"),alfa_vill.!$A$2:$A$4,1))</f>
        <v>1.0999999999999999E-2</v>
      </c>
      <c r="P19" s="83">
        <f t="shared" si="5"/>
        <v>0</v>
      </c>
      <c r="Q19" s="84"/>
      <c r="R19" s="72">
        <v>0</v>
      </c>
      <c r="S19" s="72"/>
      <c r="T19" s="72">
        <v>0</v>
      </c>
      <c r="U19" s="53">
        <f t="shared" si="6"/>
        <v>1</v>
      </c>
      <c r="V19" s="113">
        <f>$R19*IFERROR(VLOOKUP(VLOOKUP($S19,Egységek!$B:$G,6,0),FUELS!$B$4:$F$19,2,0),0)/IFERROR(VLOOKUP($S19,Egységek!$B:$AA,26,0),1)+$T19*FUELS!C$5+$U19*FUELS!C$4</f>
        <v>2.2999999999999998</v>
      </c>
      <c r="W19" s="118">
        <f>+$R19*IFERROR(VLOOKUP(VLOOKUP($S19,Egységek!$B:$G,6,0),FUELS!$B$4:$F$19,3,0),0)/IFERROR(VLOOKUP(telephelyek!$S19,Egységek!$B:$AA,26,0),1)+$T19*FUELS!D$5+$U19*FUELS!D$4</f>
        <v>0.3</v>
      </c>
      <c r="X19" s="119">
        <f>+$R19*IFERROR(VLOOKUP(VLOOKUP($S19,Egységek!$B:$G,6,),FUELS!$B$4:$F$19,4,0),0)/IFERROR(VLOOKUP($S19,Egységek!$B:$AA,26,0),1)+$T19*FUELS!E$5+$U19*FUELS!E$4</f>
        <v>2.6</v>
      </c>
      <c r="Y19">
        <f>+$R19*IFERROR(VLOOKUP(VLOOKUP($S19,Egységek!$B:$G,6,),FUELS!$B$4:$F$19,5,0),0)/IFERROR(VLOOKUP($S19,Egységek!$B:$T,19,0),1)+$T19*FUELS!F$5+$U19*FUELS!F$4</f>
        <v>455</v>
      </c>
    </row>
    <row r="20" spans="1:25">
      <c r="A20" s="72"/>
      <c r="B20" s="72"/>
      <c r="C20" s="87">
        <f t="shared" si="0"/>
        <v>0</v>
      </c>
      <c r="D20" s="87">
        <f t="shared" si="1"/>
        <v>0</v>
      </c>
      <c r="E20" s="87">
        <f t="shared" si="2"/>
        <v>0</v>
      </c>
      <c r="F20" s="87">
        <f t="shared" si="3"/>
        <v>0</v>
      </c>
      <c r="G20" s="107" t="str">
        <f>IF(A20&lt;&gt;"",CONVERT(GETPIVOTDATA("Összeg / Nettó kiadott hő (Qki) MWh",Egység_összegzés!$A$1,"telephely",$A20,"rendszer",$B20),"MWh",$H20),"")</f>
        <v/>
      </c>
      <c r="H20" s="106"/>
      <c r="I20" s="69"/>
      <c r="J20" s="68"/>
      <c r="K20" s="71"/>
      <c r="L20" s="35"/>
      <c r="M20" s="79" t="str">
        <f t="shared" si="4"/>
        <v/>
      </c>
      <c r="N20" s="81"/>
      <c r="O20" s="52" t="e">
        <f>INDEX(alfa_vill.!$C$2:$C$4,MATCH(CONVERT(I20,J20,"kWh"),alfa_vill.!$A$2:$A$4,1))</f>
        <v>#N/A</v>
      </c>
      <c r="P20" s="83" t="e">
        <f t="shared" si="5"/>
        <v>#N/A</v>
      </c>
      <c r="Q20" s="84"/>
      <c r="R20" s="72"/>
      <c r="S20" s="72"/>
      <c r="T20" s="72"/>
      <c r="U20" s="53">
        <f t="shared" si="6"/>
        <v>1</v>
      </c>
      <c r="V20" s="113">
        <f>$R20*IFERROR(VLOOKUP(VLOOKUP($S20,Egységek!$B:$G,6,0),FUELS!$B$4:$F$19,2,0),0)/IFERROR(VLOOKUP($S20,Egységek!$B:$AA,26,0),1)+$T20*FUELS!C$5+$U20*FUELS!C$4</f>
        <v>2.2999999999999998</v>
      </c>
      <c r="W20" s="118">
        <f>+$R20*IFERROR(VLOOKUP(VLOOKUP($S20,Egységek!$B:$G,6,0),FUELS!$B$4:$F$19,3,0),0)/IFERROR(VLOOKUP(telephelyek!$S20,Egységek!$B:$AA,26,0),1)+$T20*FUELS!D$5+$U20*FUELS!D$4</f>
        <v>0.3</v>
      </c>
      <c r="X20" s="119">
        <f>+$R20*IFERROR(VLOOKUP(VLOOKUP($S20,Egységek!$B:$G,6,),FUELS!$B$4:$F$19,4,0),0)/IFERROR(VLOOKUP($S20,Egységek!$B:$AA,26,0),1)+$T20*FUELS!E$5+$U20*FUELS!E$4</f>
        <v>2.6</v>
      </c>
      <c r="Y20">
        <f>+$R20*IFERROR(VLOOKUP(VLOOKUP($S20,Egységek!$B:$G,6,),FUELS!$B$4:$F$19,5,0),0)/IFERROR(VLOOKUP($S20,Egységek!$B:$T,19,0),1)+$T20*FUELS!F$5+$U20*FUELS!F$4</f>
        <v>455</v>
      </c>
    </row>
    <row r="21" spans="1:25">
      <c r="A21" s="72"/>
      <c r="B21" s="72"/>
      <c r="C21" s="87">
        <f t="shared" si="0"/>
        <v>0</v>
      </c>
      <c r="D21" s="87">
        <f t="shared" si="1"/>
        <v>0</v>
      </c>
      <c r="E21" s="87">
        <f t="shared" si="2"/>
        <v>0</v>
      </c>
      <c r="F21" s="87">
        <f t="shared" si="3"/>
        <v>0</v>
      </c>
      <c r="G21" s="107" t="str">
        <f>IF(A21&lt;&gt;"",CONVERT(GETPIVOTDATA("Összeg / Nettó kiadott hő (Qki) MWh",Egység_összegzés!$A$1,"telephely",$A21,"rendszer",$B21),"MWh",$H21),"")</f>
        <v/>
      </c>
      <c r="H21" s="106"/>
      <c r="I21" s="69"/>
      <c r="J21" s="68"/>
      <c r="K21" s="71"/>
      <c r="L21" s="35"/>
      <c r="M21" s="79" t="str">
        <f t="shared" si="4"/>
        <v/>
      </c>
      <c r="N21" s="81"/>
      <c r="O21" s="52" t="e">
        <f>INDEX(alfa_vill.!$C$2:$C$4,MATCH(CONVERT(I21,J21,"kWh"),alfa_vill.!$A$2:$A$4,1))</f>
        <v>#N/A</v>
      </c>
      <c r="P21" s="83" t="e">
        <f t="shared" si="5"/>
        <v>#N/A</v>
      </c>
      <c r="Q21" s="84"/>
      <c r="R21" s="72"/>
      <c r="S21" s="72"/>
      <c r="T21" s="72"/>
      <c r="U21" s="53">
        <f t="shared" si="6"/>
        <v>1</v>
      </c>
      <c r="V21" s="113">
        <f>$R21*IFERROR(VLOOKUP(VLOOKUP($S21,Egységek!$B:$G,6,0),FUELS!$B$4:$F$19,2,0),0)/IFERROR(VLOOKUP($S21,Egységek!$B:$AA,26,0),1)+$T21*FUELS!C$5+$U21*FUELS!C$4</f>
        <v>2.2999999999999998</v>
      </c>
      <c r="W21" s="118">
        <f>+$R21*IFERROR(VLOOKUP(VLOOKUP($S21,Egységek!$B:$G,6,0),FUELS!$B$4:$F$19,3,0),0)/IFERROR(VLOOKUP(telephelyek!$S21,Egységek!$B:$AA,26,0),1)+$T21*FUELS!D$5+$U21*FUELS!D$4</f>
        <v>0.3</v>
      </c>
      <c r="X21" s="119">
        <f>+$R21*IFERROR(VLOOKUP(VLOOKUP($S21,Egységek!$B:$G,6,),FUELS!$B$4:$F$19,4,0),0)/IFERROR(VLOOKUP($S21,Egységek!$B:$AA,26,0),1)+$T21*FUELS!E$5+$U21*FUELS!E$4</f>
        <v>2.6</v>
      </c>
      <c r="Y21">
        <f>+$R21*IFERROR(VLOOKUP(VLOOKUP($S21,Egységek!$B:$G,6,),FUELS!$B$4:$F$19,5,0),0)/IFERROR(VLOOKUP($S21,Egységek!$B:$T,19,0),1)+$T21*FUELS!F$5+$U21*FUELS!F$4</f>
        <v>455</v>
      </c>
    </row>
    <row r="22" spans="1:25">
      <c r="A22" s="72"/>
      <c r="B22" s="72"/>
      <c r="C22" s="87">
        <f t="shared" si="0"/>
        <v>0</v>
      </c>
      <c r="D22" s="87">
        <f t="shared" si="1"/>
        <v>0</v>
      </c>
      <c r="E22" s="87">
        <f t="shared" si="2"/>
        <v>0</v>
      </c>
      <c r="F22" s="87">
        <f t="shared" si="3"/>
        <v>0</v>
      </c>
      <c r="G22" s="107" t="str">
        <f>IF(A22&lt;&gt;"",CONVERT(GETPIVOTDATA("Összeg / Nettó kiadott hő (Qki) MWh",Egység_összegzés!$A$1,"telephely",$A22,"rendszer",$B22),"MWh",$H22),"")</f>
        <v/>
      </c>
      <c r="H22" s="106"/>
      <c r="I22" s="69"/>
      <c r="J22" s="68"/>
      <c r="K22" s="71"/>
      <c r="L22" s="35"/>
      <c r="M22" s="79" t="str">
        <f t="shared" si="4"/>
        <v/>
      </c>
      <c r="N22" s="81"/>
      <c r="O22" s="52" t="e">
        <f>INDEX(alfa_vill.!$C$2:$C$4,MATCH(CONVERT(I22,J22,"kWh"),alfa_vill.!$A$2:$A$4,1))</f>
        <v>#N/A</v>
      </c>
      <c r="P22" s="83" t="e">
        <f t="shared" si="5"/>
        <v>#N/A</v>
      </c>
      <c r="Q22" s="84"/>
      <c r="R22" s="72"/>
      <c r="S22" s="72"/>
      <c r="T22" s="72"/>
      <c r="U22" s="53">
        <f t="shared" si="6"/>
        <v>1</v>
      </c>
      <c r="V22" s="113">
        <f>$R22*IFERROR(VLOOKUP(VLOOKUP($S22,Egységek!$B:$G,6,0),FUELS!$B$4:$F$19,2,0),0)/IFERROR(VLOOKUP($S22,Egységek!$B:$AA,26,0),1)+$T22*FUELS!C$5+$U22*FUELS!C$4</f>
        <v>2.2999999999999998</v>
      </c>
      <c r="W22" s="118">
        <f>+$R22*IFERROR(VLOOKUP(VLOOKUP($S22,Egységek!$B:$G,6,0),FUELS!$B$4:$F$19,3,0),0)/IFERROR(VLOOKUP(telephelyek!$S22,Egységek!$B:$AA,26,0),1)+$T22*FUELS!D$5+$U22*FUELS!D$4</f>
        <v>0.3</v>
      </c>
      <c r="X22" s="119">
        <f>+$R22*IFERROR(VLOOKUP(VLOOKUP($S22,Egységek!$B:$G,6,),FUELS!$B$4:$F$19,4,0),0)/IFERROR(VLOOKUP($S22,Egységek!$B:$AA,26,0),1)+$T22*FUELS!E$5+$U22*FUELS!E$4</f>
        <v>2.6</v>
      </c>
      <c r="Y22">
        <f>+$R22*IFERROR(VLOOKUP(VLOOKUP($S22,Egységek!$B:$G,6,),FUELS!$B$4:$F$19,5,0),0)/IFERROR(VLOOKUP($S22,Egységek!$B:$T,19,0),1)+$T22*FUELS!F$5+$U22*FUELS!F$4</f>
        <v>455</v>
      </c>
    </row>
    <row r="23" spans="1:25">
      <c r="A23" s="72"/>
      <c r="B23" s="72"/>
      <c r="C23" s="87">
        <f t="shared" si="0"/>
        <v>0</v>
      </c>
      <c r="D23" s="87">
        <f t="shared" si="1"/>
        <v>0</v>
      </c>
      <c r="E23" s="87">
        <f t="shared" si="2"/>
        <v>0</v>
      </c>
      <c r="F23" s="87">
        <f t="shared" si="3"/>
        <v>0</v>
      </c>
      <c r="G23" s="107" t="str">
        <f>IF(A23&lt;&gt;"",CONVERT(GETPIVOTDATA("Összeg / Nettó kiadott hő (Qki) MWh",Egység_összegzés!$A$1,"telephely",$A23,"rendszer",$B23),"MWh",$H23),"")</f>
        <v/>
      </c>
      <c r="H23" s="106"/>
      <c r="I23" s="69"/>
      <c r="J23" s="68"/>
      <c r="K23" s="71"/>
      <c r="L23" s="35"/>
      <c r="M23" s="79" t="str">
        <f t="shared" si="4"/>
        <v/>
      </c>
      <c r="N23" s="81"/>
      <c r="O23" s="52" t="e">
        <f>INDEX(alfa_vill.!$C$2:$C$4,MATCH(CONVERT(I23,J23,"kWh"),alfa_vill.!$A$2:$A$4,1))</f>
        <v>#N/A</v>
      </c>
      <c r="P23" s="83" t="e">
        <f t="shared" si="5"/>
        <v>#N/A</v>
      </c>
      <c r="Q23" s="84"/>
      <c r="R23" s="72"/>
      <c r="S23" s="72"/>
      <c r="T23" s="72"/>
      <c r="U23" s="53">
        <f t="shared" si="6"/>
        <v>1</v>
      </c>
      <c r="V23" s="113">
        <f>$R23*IFERROR(VLOOKUP(VLOOKUP($S23,Egységek!$B:$G,6,0),FUELS!$B$4:$F$19,2,0),0)/IFERROR(VLOOKUP($S23,Egységek!$B:$AA,26,0),1)+$T23*FUELS!C$5+$U23*FUELS!C$4</f>
        <v>2.2999999999999998</v>
      </c>
      <c r="W23" s="118">
        <f>+$R23*IFERROR(VLOOKUP(VLOOKUP($S23,Egységek!$B:$G,6,0),FUELS!$B$4:$F$19,3,0),0)/IFERROR(VLOOKUP(telephelyek!$S23,Egységek!$B:$AA,26,0),1)+$T23*FUELS!D$5+$U23*FUELS!D$4</f>
        <v>0.3</v>
      </c>
      <c r="X23" s="119">
        <f>+$R23*IFERROR(VLOOKUP(VLOOKUP($S23,Egységek!$B:$G,6,),FUELS!$B$4:$F$19,4,0),0)/IFERROR(VLOOKUP($S23,Egységek!$B:$AA,26,0),1)+$T23*FUELS!E$5+$U23*FUELS!E$4</f>
        <v>2.6</v>
      </c>
      <c r="Y23">
        <f>+$R23*IFERROR(VLOOKUP(VLOOKUP($S23,Egységek!$B:$G,6,),FUELS!$B$4:$F$19,5,0),0)/IFERROR(VLOOKUP($S23,Egységek!$B:$T,19,0),1)+$T23*FUELS!F$5+$U23*FUELS!F$4</f>
        <v>455</v>
      </c>
    </row>
    <row r="24" spans="1:25">
      <c r="A24" s="72"/>
      <c r="B24" s="72"/>
      <c r="C24" s="87">
        <f t="shared" si="0"/>
        <v>0</v>
      </c>
      <c r="D24" s="87">
        <f t="shared" si="1"/>
        <v>0</v>
      </c>
      <c r="E24" s="87">
        <f t="shared" si="2"/>
        <v>0</v>
      </c>
      <c r="F24" s="87">
        <f t="shared" si="3"/>
        <v>0</v>
      </c>
      <c r="G24" s="107" t="str">
        <f>IF(A24&lt;&gt;"",CONVERT(GETPIVOTDATA("Összeg / Nettó kiadott hő (Qki) MWh",Egység_összegzés!$A$1,"telephely",$A24,"rendszer",$B24),"MWh",$H24),"")</f>
        <v/>
      </c>
      <c r="H24" s="106"/>
      <c r="I24" s="69"/>
      <c r="J24" s="68"/>
      <c r="K24" s="71"/>
      <c r="L24" s="35"/>
      <c r="M24" s="79" t="str">
        <f t="shared" si="4"/>
        <v/>
      </c>
      <c r="N24" s="81"/>
      <c r="O24" s="52" t="e">
        <f>INDEX(alfa_vill.!$C$2:$C$4,MATCH(CONVERT(I24,J24,"kWh"),alfa_vill.!$A$2:$A$4,1))</f>
        <v>#N/A</v>
      </c>
      <c r="P24" s="83" t="e">
        <f t="shared" si="5"/>
        <v>#N/A</v>
      </c>
      <c r="Q24" s="84"/>
      <c r="R24" s="72"/>
      <c r="S24" s="72"/>
      <c r="T24" s="72"/>
      <c r="U24" s="53">
        <f t="shared" si="6"/>
        <v>1</v>
      </c>
      <c r="V24" s="113">
        <f>$R24*IFERROR(VLOOKUP(VLOOKUP($S24,Egységek!$B:$G,6,0),FUELS!$B$4:$F$19,2,0),0)/IFERROR(VLOOKUP($S24,Egységek!$B:$AA,26,0),1)+$T24*FUELS!C$5+$U24*FUELS!C$4</f>
        <v>2.2999999999999998</v>
      </c>
      <c r="W24" s="118">
        <f>+$R24*IFERROR(VLOOKUP(VLOOKUP($S24,Egységek!$B:$G,6,0),FUELS!$B$4:$F$19,3,0),0)/IFERROR(VLOOKUP(telephelyek!$S24,Egységek!$B:$AA,26,0),1)+$T24*FUELS!D$5+$U24*FUELS!D$4</f>
        <v>0.3</v>
      </c>
      <c r="X24" s="119">
        <f>+$R24*IFERROR(VLOOKUP(VLOOKUP($S24,Egységek!$B:$G,6,),FUELS!$B$4:$F$19,4,0),0)/IFERROR(VLOOKUP($S24,Egységek!$B:$AA,26,0),1)+$T24*FUELS!E$5+$U24*FUELS!E$4</f>
        <v>2.6</v>
      </c>
      <c r="Y24">
        <f>+$R24*IFERROR(VLOOKUP(VLOOKUP($S24,Egységek!$B:$G,6,),FUELS!$B$4:$F$19,5,0),0)/IFERROR(VLOOKUP($S24,Egységek!$B:$T,19,0),1)+$T24*FUELS!F$5+$U24*FUELS!F$4</f>
        <v>455</v>
      </c>
    </row>
    <row r="25" spans="1:25">
      <c r="A25" s="72"/>
      <c r="B25" s="72"/>
      <c r="C25" s="87">
        <f t="shared" si="0"/>
        <v>0</v>
      </c>
      <c r="D25" s="87">
        <f t="shared" si="1"/>
        <v>0</v>
      </c>
      <c r="E25" s="87">
        <f t="shared" si="2"/>
        <v>0</v>
      </c>
      <c r="F25" s="87">
        <f t="shared" si="3"/>
        <v>0</v>
      </c>
      <c r="G25" s="107" t="str">
        <f>IF(A25&lt;&gt;"",CONVERT(GETPIVOTDATA("Összeg / Nettó kiadott hő (Qki) MWh",Egység_összegzés!$A$1,"telephely",$A25,"rendszer",$B25),"MWh",$H25),"")</f>
        <v/>
      </c>
      <c r="H25" s="106"/>
      <c r="I25" s="69"/>
      <c r="J25" s="68"/>
      <c r="K25" s="71"/>
      <c r="L25" s="35"/>
      <c r="M25" s="79" t="str">
        <f t="shared" si="4"/>
        <v/>
      </c>
      <c r="N25" s="81"/>
      <c r="O25" s="52" t="e">
        <f>INDEX(alfa_vill.!$C$2:$C$4,MATCH(CONVERT(I25,J25,"kWh"),alfa_vill.!$A$2:$A$4,1))</f>
        <v>#N/A</v>
      </c>
      <c r="P25" s="83" t="e">
        <f t="shared" si="5"/>
        <v>#N/A</v>
      </c>
      <c r="Q25" s="84"/>
      <c r="R25" s="72"/>
      <c r="S25" s="72"/>
      <c r="T25" s="72"/>
      <c r="U25" s="53">
        <f t="shared" si="6"/>
        <v>1</v>
      </c>
      <c r="V25" s="113">
        <f>$R25*IFERROR(VLOOKUP(VLOOKUP($S25,Egységek!$B:$G,6,0),FUELS!$B$4:$F$19,2,0),0)/IFERROR(VLOOKUP($S25,Egységek!$B:$AA,26,0),1)+$T25*FUELS!C$5+$U25*FUELS!C$4</f>
        <v>2.2999999999999998</v>
      </c>
      <c r="W25" s="118">
        <f>+$R25*IFERROR(VLOOKUP(VLOOKUP($S25,Egységek!$B:$G,6,0),FUELS!$B$4:$F$19,3,0),0)/IFERROR(VLOOKUP(telephelyek!$S25,Egységek!$B:$AA,26,0),1)+$T25*FUELS!D$5+$U25*FUELS!D$4</f>
        <v>0.3</v>
      </c>
      <c r="X25" s="119">
        <f>+$R25*IFERROR(VLOOKUP(VLOOKUP($S25,Egységek!$B:$G,6,),FUELS!$B$4:$F$19,4,0),0)/IFERROR(VLOOKUP($S25,Egységek!$B:$AA,26,0),1)+$T25*FUELS!E$5+$U25*FUELS!E$4</f>
        <v>2.6</v>
      </c>
      <c r="Y25">
        <f>+$R25*IFERROR(VLOOKUP(VLOOKUP($S25,Egységek!$B:$G,6,),FUELS!$B$4:$F$19,5,0),0)/IFERROR(VLOOKUP($S25,Egységek!$B:$T,19,0),1)+$T25*FUELS!F$5+$U25*FUELS!F$4</f>
        <v>455</v>
      </c>
    </row>
    <row r="26" spans="1:25">
      <c r="A26" s="72"/>
      <c r="B26" s="72"/>
      <c r="C26" s="87">
        <f t="shared" si="0"/>
        <v>0</v>
      </c>
      <c r="D26" s="87">
        <f t="shared" si="1"/>
        <v>0</v>
      </c>
      <c r="E26" s="87">
        <f t="shared" si="2"/>
        <v>0</v>
      </c>
      <c r="F26" s="87">
        <f t="shared" si="3"/>
        <v>0</v>
      </c>
      <c r="G26" s="107" t="str">
        <f>IF(A26&lt;&gt;"",CONVERT(GETPIVOTDATA("Összeg / Nettó kiadott hő (Qki) MWh",Egység_összegzés!$A$1,"telephely",$A26,"rendszer",$B26),"MWh",$H26),"")</f>
        <v/>
      </c>
      <c r="H26" s="106"/>
      <c r="I26" s="69"/>
      <c r="J26" s="68"/>
      <c r="K26" s="71"/>
      <c r="L26" s="35"/>
      <c r="M26" s="79" t="str">
        <f t="shared" si="4"/>
        <v/>
      </c>
      <c r="N26" s="81"/>
      <c r="O26" s="52" t="e">
        <f>INDEX(alfa_vill.!$C$2:$C$4,MATCH(CONVERT(I26,J26,"kWh"),alfa_vill.!$A$2:$A$4,1))</f>
        <v>#N/A</v>
      </c>
      <c r="P26" s="83" t="e">
        <f t="shared" si="5"/>
        <v>#N/A</v>
      </c>
      <c r="Q26" s="84"/>
      <c r="R26" s="72"/>
      <c r="S26" s="72"/>
      <c r="T26" s="72"/>
      <c r="U26" s="53">
        <f t="shared" si="6"/>
        <v>1</v>
      </c>
      <c r="V26" s="113">
        <f>$R26*IFERROR(VLOOKUP(VLOOKUP($S26,Egységek!$B:$G,6,0),FUELS!$B$4:$F$19,2,0),0)/IFERROR(VLOOKUP($S26,Egységek!$B:$AA,26,0),1)+$T26*FUELS!C$5+$U26*FUELS!C$4</f>
        <v>2.2999999999999998</v>
      </c>
      <c r="W26" s="118">
        <f>+$R26*IFERROR(VLOOKUP(VLOOKUP($S26,Egységek!$B:$G,6,0),FUELS!$B$4:$F$19,3,0),0)/IFERROR(VLOOKUP(telephelyek!$S26,Egységek!$B:$AA,26,0),1)+$T26*FUELS!D$5+$U26*FUELS!D$4</f>
        <v>0.3</v>
      </c>
      <c r="X26" s="119">
        <f>+$R26*IFERROR(VLOOKUP(VLOOKUP($S26,Egységek!$B:$G,6,),FUELS!$B$4:$F$19,4,0),0)/IFERROR(VLOOKUP($S26,Egységek!$B:$AA,26,0),1)+$T26*FUELS!E$5+$U26*FUELS!E$4</f>
        <v>2.6</v>
      </c>
      <c r="Y26">
        <f>+$R26*IFERROR(VLOOKUP(VLOOKUP($S26,Egységek!$B:$G,6,),FUELS!$B$4:$F$19,5,0),0)/IFERROR(VLOOKUP($S26,Egységek!$B:$T,19,0),1)+$T26*FUELS!F$5+$U26*FUELS!F$4</f>
        <v>455</v>
      </c>
    </row>
    <row r="27" spans="1:25">
      <c r="A27" s="72"/>
      <c r="B27" s="72"/>
      <c r="C27" s="87">
        <f t="shared" si="0"/>
        <v>0</v>
      </c>
      <c r="D27" s="87">
        <f t="shared" si="1"/>
        <v>0</v>
      </c>
      <c r="E27" s="87">
        <f t="shared" si="2"/>
        <v>0</v>
      </c>
      <c r="F27" s="87">
        <f t="shared" si="3"/>
        <v>0</v>
      </c>
      <c r="G27" s="107" t="str">
        <f>IF(A27&lt;&gt;"",CONVERT(GETPIVOTDATA("Összeg / Nettó kiadott hő (Qki) MWh",Egység_összegzés!$A$1,"telephely",$A27,"rendszer",$B27),"MWh",$H27),"")</f>
        <v/>
      </c>
      <c r="H27" s="106"/>
      <c r="I27" s="69"/>
      <c r="J27" s="68"/>
      <c r="K27" s="71"/>
      <c r="L27" s="35"/>
      <c r="M27" s="79" t="str">
        <f t="shared" si="4"/>
        <v/>
      </c>
      <c r="N27" s="81"/>
      <c r="O27" s="52" t="e">
        <f>INDEX(alfa_vill.!$C$2:$C$4,MATCH(CONVERT(I27,J27,"kWh"),alfa_vill.!$A$2:$A$4,1))</f>
        <v>#N/A</v>
      </c>
      <c r="P27" s="83" t="e">
        <f t="shared" si="5"/>
        <v>#N/A</v>
      </c>
      <c r="Q27" s="84"/>
      <c r="R27" s="72"/>
      <c r="S27" s="72"/>
      <c r="T27" s="72"/>
      <c r="U27" s="53">
        <f t="shared" si="6"/>
        <v>1</v>
      </c>
      <c r="V27" s="113">
        <f>$R27*IFERROR(VLOOKUP(VLOOKUP($S27,Egységek!$B:$G,6,0),FUELS!$B$4:$F$19,2,0),0)/IFERROR(VLOOKUP($S27,Egységek!$B:$AA,26,0),1)+$T27*FUELS!C$5+$U27*FUELS!C$4</f>
        <v>2.2999999999999998</v>
      </c>
      <c r="W27" s="118">
        <f>+$R27*IFERROR(VLOOKUP(VLOOKUP($S27,Egységek!$B:$G,6,0),FUELS!$B$4:$F$19,3,0),0)/IFERROR(VLOOKUP(telephelyek!$S27,Egységek!$B:$AA,26,0),1)+$T27*FUELS!D$5+$U27*FUELS!D$4</f>
        <v>0.3</v>
      </c>
      <c r="X27" s="119">
        <f>+$R27*IFERROR(VLOOKUP(VLOOKUP($S27,Egységek!$B:$G,6,),FUELS!$B$4:$F$19,4,0),0)/IFERROR(VLOOKUP($S27,Egységek!$B:$AA,26,0),1)+$T27*FUELS!E$5+$U27*FUELS!E$4</f>
        <v>2.6</v>
      </c>
      <c r="Y27">
        <f>+$R27*IFERROR(VLOOKUP(VLOOKUP($S27,Egységek!$B:$G,6,),FUELS!$B$4:$F$19,5,0),0)/IFERROR(VLOOKUP($S27,Egységek!$B:$T,19,0),1)+$T27*FUELS!F$5+$U27*FUELS!F$4</f>
        <v>455</v>
      </c>
    </row>
    <row r="28" spans="1:25">
      <c r="A28" s="72"/>
      <c r="B28" s="72"/>
      <c r="C28" s="87">
        <f t="shared" si="0"/>
        <v>0</v>
      </c>
      <c r="D28" s="87">
        <f t="shared" si="1"/>
        <v>0</v>
      </c>
      <c r="E28" s="87">
        <f t="shared" si="2"/>
        <v>0</v>
      </c>
      <c r="F28" s="87">
        <f t="shared" si="3"/>
        <v>0</v>
      </c>
      <c r="G28" s="107" t="str">
        <f>IF(A28&lt;&gt;"",CONVERT(GETPIVOTDATA("Összeg / Nettó kiadott hő (Qki) MWh",Egység_összegzés!$A$1,"telephely",$A28,"rendszer",$B28),"MWh",$H28),"")</f>
        <v/>
      </c>
      <c r="H28" s="106"/>
      <c r="I28" s="69"/>
      <c r="J28" s="68"/>
      <c r="K28" s="71"/>
      <c r="L28" s="35"/>
      <c r="M28" s="79" t="str">
        <f t="shared" si="4"/>
        <v/>
      </c>
      <c r="N28" s="81"/>
      <c r="O28" s="52" t="e">
        <f>INDEX(alfa_vill.!$C$2:$C$4,MATCH(CONVERT(I28,J28,"kWh"),alfa_vill.!$A$2:$A$4,1))</f>
        <v>#N/A</v>
      </c>
      <c r="P28" s="83" t="e">
        <f t="shared" si="5"/>
        <v>#N/A</v>
      </c>
      <c r="Q28" s="84"/>
      <c r="R28" s="72"/>
      <c r="S28" s="72"/>
      <c r="T28" s="72"/>
      <c r="U28" s="53">
        <f t="shared" si="6"/>
        <v>1</v>
      </c>
      <c r="V28" s="113">
        <f>$R28*IFERROR(VLOOKUP(VLOOKUP($S28,Egységek!$B:$G,6,0),FUELS!$B$4:$F$19,2,0),0)/IFERROR(VLOOKUP($S28,Egységek!$B:$AA,26,0),1)+$T28*FUELS!C$5+$U28*FUELS!C$4</f>
        <v>2.2999999999999998</v>
      </c>
      <c r="W28" s="118">
        <f>+$R28*IFERROR(VLOOKUP(VLOOKUP($S28,Egységek!$B:$G,6,0),FUELS!$B$4:$F$19,3,0),0)/IFERROR(VLOOKUP(telephelyek!$S28,Egységek!$B:$AA,26,0),1)+$T28*FUELS!D$5+$U28*FUELS!D$4</f>
        <v>0.3</v>
      </c>
      <c r="X28" s="119">
        <f>+$R28*IFERROR(VLOOKUP(VLOOKUP($S28,Egységek!$B:$G,6,),FUELS!$B$4:$F$19,4,0),0)/IFERROR(VLOOKUP($S28,Egységek!$B:$AA,26,0),1)+$T28*FUELS!E$5+$U28*FUELS!E$4</f>
        <v>2.6</v>
      </c>
      <c r="Y28">
        <f>+$R28*IFERROR(VLOOKUP(VLOOKUP($S28,Egységek!$B:$G,6,),FUELS!$B$4:$F$19,5,0),0)/IFERROR(VLOOKUP($S28,Egységek!$B:$T,19,0),1)+$T28*FUELS!F$5+$U28*FUELS!F$4</f>
        <v>455</v>
      </c>
    </row>
    <row r="29" spans="1:25">
      <c r="A29" s="72"/>
      <c r="B29" s="72"/>
      <c r="C29" s="87">
        <f t="shared" si="0"/>
        <v>0</v>
      </c>
      <c r="D29" s="87">
        <f t="shared" si="1"/>
        <v>0</v>
      </c>
      <c r="E29" s="87">
        <f t="shared" si="2"/>
        <v>0</v>
      </c>
      <c r="F29" s="87">
        <f t="shared" si="3"/>
        <v>0</v>
      </c>
      <c r="G29" s="107" t="str">
        <f>IF(A29&lt;&gt;"",CONVERT(GETPIVOTDATA("Összeg / Nettó kiadott hő (Qki) MWh",Egység_összegzés!$A$1,"telephely",$A29,"rendszer",$B29),"MWh",$H29),"")</f>
        <v/>
      </c>
      <c r="H29" s="106"/>
      <c r="I29" s="69"/>
      <c r="J29" s="68"/>
      <c r="K29" s="71"/>
      <c r="L29" s="35"/>
      <c r="M29" s="79" t="str">
        <f t="shared" si="4"/>
        <v/>
      </c>
      <c r="N29" s="81"/>
      <c r="O29" s="52" t="e">
        <f>INDEX(alfa_vill.!$C$2:$C$4,MATCH(CONVERT(I29,J29,"kWh"),alfa_vill.!$A$2:$A$4,1))</f>
        <v>#N/A</v>
      </c>
      <c r="P29" s="83" t="e">
        <f t="shared" si="5"/>
        <v>#N/A</v>
      </c>
      <c r="Q29" s="84"/>
      <c r="R29" s="72"/>
      <c r="S29" s="72"/>
      <c r="T29" s="72"/>
      <c r="U29" s="53">
        <f t="shared" si="6"/>
        <v>1</v>
      </c>
      <c r="V29" s="113">
        <f>$R29*IFERROR(VLOOKUP(VLOOKUP($S29,Egységek!$B:$G,6,0),FUELS!$B$4:$F$19,2,0),0)/IFERROR(VLOOKUP($S29,Egységek!$B:$AA,26,0),1)+$T29*FUELS!C$5+$U29*FUELS!C$4</f>
        <v>2.2999999999999998</v>
      </c>
      <c r="W29" s="118">
        <f>+$R29*IFERROR(VLOOKUP(VLOOKUP($S29,Egységek!$B:$G,6,0),FUELS!$B$4:$F$19,3,0),0)/IFERROR(VLOOKUP(telephelyek!$S29,Egységek!$B:$AA,26,0),1)+$T29*FUELS!D$5+$U29*FUELS!D$4</f>
        <v>0.3</v>
      </c>
      <c r="X29" s="119">
        <f>+$R29*IFERROR(VLOOKUP(VLOOKUP($S29,Egységek!$B:$G,6,),FUELS!$B$4:$F$19,4,0),0)/IFERROR(VLOOKUP($S29,Egységek!$B:$AA,26,0),1)+$T29*FUELS!E$5+$U29*FUELS!E$4</f>
        <v>2.6</v>
      </c>
      <c r="Y29">
        <f>+$R29*IFERROR(VLOOKUP(VLOOKUP($S29,Egységek!$B:$G,6,),FUELS!$B$4:$F$19,5,0),0)/IFERROR(VLOOKUP($S29,Egységek!$B:$T,19,0),1)+$T29*FUELS!F$5+$U29*FUELS!F$4</f>
        <v>455</v>
      </c>
    </row>
    <row r="30" spans="1:25">
      <c r="A30" s="72"/>
      <c r="B30" s="72"/>
      <c r="C30" s="87">
        <f t="shared" si="0"/>
        <v>0</v>
      </c>
      <c r="D30" s="87">
        <f t="shared" si="1"/>
        <v>0</v>
      </c>
      <c r="E30" s="87">
        <f t="shared" si="2"/>
        <v>0</v>
      </c>
      <c r="F30" s="87">
        <f t="shared" si="3"/>
        <v>0</v>
      </c>
      <c r="G30" s="107" t="str">
        <f>IF(A30&lt;&gt;"",CONVERT(GETPIVOTDATA("Összeg / Nettó kiadott hő (Qki) MWh",Egység_összegzés!$A$1,"telephely",$A30,"rendszer",$B30),"MWh",$H30),"")</f>
        <v/>
      </c>
      <c r="H30" s="106"/>
      <c r="I30" s="69"/>
      <c r="J30" s="68"/>
      <c r="K30" s="71"/>
      <c r="L30" s="35"/>
      <c r="M30" s="79" t="str">
        <f t="shared" si="4"/>
        <v/>
      </c>
      <c r="N30" s="81"/>
      <c r="O30" s="52" t="e">
        <f>INDEX(alfa_vill.!$C$2:$C$4,MATCH(CONVERT(I30,J30,"kWh"),alfa_vill.!$A$2:$A$4,1))</f>
        <v>#N/A</v>
      </c>
      <c r="P30" s="83" t="e">
        <f t="shared" si="5"/>
        <v>#N/A</v>
      </c>
      <c r="Q30" s="84"/>
      <c r="R30" s="72"/>
      <c r="S30" s="72"/>
      <c r="T30" s="72"/>
      <c r="U30" s="53">
        <f t="shared" si="6"/>
        <v>1</v>
      </c>
      <c r="V30" s="113">
        <f>$R30*IFERROR(VLOOKUP(VLOOKUP($S30,Egységek!$B:$G,6,0),FUELS!$B$4:$F$19,2,0),0)/IFERROR(VLOOKUP($S30,Egységek!$B:$AA,26,0),1)+$T30*FUELS!C$5+$U30*FUELS!C$4</f>
        <v>2.2999999999999998</v>
      </c>
      <c r="W30" s="118">
        <f>+$R30*IFERROR(VLOOKUP(VLOOKUP($S30,Egységek!$B:$G,6,0),FUELS!$B$4:$F$19,3,0),0)/IFERROR(VLOOKUP(telephelyek!$S30,Egységek!$B:$AA,26,0),1)+$T30*FUELS!D$5+$U30*FUELS!D$4</f>
        <v>0.3</v>
      </c>
      <c r="X30" s="119">
        <f>+$R30*IFERROR(VLOOKUP(VLOOKUP($S30,Egységek!$B:$G,6,),FUELS!$B$4:$F$19,4,0),0)/IFERROR(VLOOKUP($S30,Egységek!$B:$AA,26,0),1)+$T30*FUELS!E$5+$U30*FUELS!E$4</f>
        <v>2.6</v>
      </c>
      <c r="Y30">
        <f>+$R30*IFERROR(VLOOKUP(VLOOKUP($S30,Egységek!$B:$G,6,),FUELS!$B$4:$F$19,5,0),0)/IFERROR(VLOOKUP($S30,Egységek!$B:$T,19,0),1)+$T30*FUELS!F$5+$U30*FUELS!F$4</f>
        <v>455</v>
      </c>
    </row>
    <row r="31" spans="1:25">
      <c r="A31" s="72"/>
      <c r="B31" s="72"/>
      <c r="C31" s="87">
        <f t="shared" si="0"/>
        <v>0</v>
      </c>
      <c r="D31" s="87">
        <f t="shared" si="1"/>
        <v>0</v>
      </c>
      <c r="E31" s="87">
        <f t="shared" si="2"/>
        <v>0</v>
      </c>
      <c r="F31" s="87">
        <f t="shared" si="3"/>
        <v>0</v>
      </c>
      <c r="G31" s="107" t="str">
        <f>IF(A31&lt;&gt;"",CONVERT(GETPIVOTDATA("Összeg / Nettó kiadott hő (Qki) MWh",Egység_összegzés!$A$1,"telephely",$A31,"rendszer",$B31),"MWh",$H31),"")</f>
        <v/>
      </c>
      <c r="H31" s="106"/>
      <c r="I31" s="69"/>
      <c r="J31" s="68"/>
      <c r="K31" s="71"/>
      <c r="L31" s="35"/>
      <c r="M31" s="79" t="str">
        <f t="shared" si="4"/>
        <v/>
      </c>
      <c r="N31" s="81"/>
      <c r="O31" s="52" t="e">
        <f>INDEX(alfa_vill.!$C$2:$C$4,MATCH(CONVERT(I31,J31,"kWh"),alfa_vill.!$A$2:$A$4,1))</f>
        <v>#N/A</v>
      </c>
      <c r="P31" s="83" t="e">
        <f t="shared" si="5"/>
        <v>#N/A</v>
      </c>
      <c r="Q31" s="84"/>
      <c r="R31" s="72"/>
      <c r="S31" s="72"/>
      <c r="T31" s="72"/>
      <c r="U31" s="53">
        <f t="shared" si="6"/>
        <v>1</v>
      </c>
      <c r="V31" s="113">
        <f>$R31*IFERROR(VLOOKUP(VLOOKUP($S31,Egységek!$B:$G,6,0),FUELS!$B$4:$F$19,2,0),0)/IFERROR(VLOOKUP($S31,Egységek!$B:$AA,26,0),1)+$T31*FUELS!C$5+$U31*FUELS!C$4</f>
        <v>2.2999999999999998</v>
      </c>
      <c r="W31" s="118">
        <f>+$R31*IFERROR(VLOOKUP(VLOOKUP($S31,Egységek!$B:$G,6,0),FUELS!$B$4:$F$19,3,0),0)/IFERROR(VLOOKUP(telephelyek!$S31,Egységek!$B:$AA,26,0),1)+$T31*FUELS!D$5+$U31*FUELS!D$4</f>
        <v>0.3</v>
      </c>
      <c r="X31" s="119">
        <f>+$R31*IFERROR(VLOOKUP(VLOOKUP($S31,Egységek!$B:$G,6,),FUELS!$B$4:$F$19,4,0),0)/IFERROR(VLOOKUP($S31,Egységek!$B:$AA,26,0),1)+$T31*FUELS!E$5+$U31*FUELS!E$4</f>
        <v>2.6</v>
      </c>
      <c r="Y31">
        <f>+$R31*IFERROR(VLOOKUP(VLOOKUP($S31,Egységek!$B:$G,6,),FUELS!$B$4:$F$19,5,0),0)/IFERROR(VLOOKUP($S31,Egységek!$B:$T,19,0),1)+$T31*FUELS!F$5+$U31*FUELS!F$4</f>
        <v>455</v>
      </c>
    </row>
    <row r="32" spans="1:25">
      <c r="A32" s="72"/>
      <c r="B32" s="72"/>
      <c r="C32" s="87">
        <f t="shared" si="0"/>
        <v>0</v>
      </c>
      <c r="D32" s="87">
        <f t="shared" si="1"/>
        <v>0</v>
      </c>
      <c r="E32" s="87">
        <f t="shared" si="2"/>
        <v>0</v>
      </c>
      <c r="F32" s="87">
        <f t="shared" si="3"/>
        <v>0</v>
      </c>
      <c r="G32" s="107" t="str">
        <f>IF(A32&lt;&gt;"",CONVERT(GETPIVOTDATA("Összeg / Nettó kiadott hő (Qki) MWh",Egység_összegzés!$A$1,"telephely",$A32,"rendszer",$B32),"MWh",$H32),"")</f>
        <v/>
      </c>
      <c r="H32" s="106"/>
      <c r="I32" s="69"/>
      <c r="J32" s="68"/>
      <c r="K32" s="71"/>
      <c r="L32" s="35"/>
      <c r="M32" s="79" t="str">
        <f t="shared" si="4"/>
        <v/>
      </c>
      <c r="N32" s="81"/>
      <c r="O32" s="52" t="e">
        <f>INDEX(alfa_vill.!$C$2:$C$4,MATCH(CONVERT(I32,J32,"kWh"),alfa_vill.!$A$2:$A$4,1))</f>
        <v>#N/A</v>
      </c>
      <c r="P32" s="83" t="e">
        <f t="shared" si="5"/>
        <v>#N/A</v>
      </c>
      <c r="Q32" s="84"/>
      <c r="R32" s="72"/>
      <c r="S32" s="72"/>
      <c r="T32" s="72"/>
      <c r="U32" s="53">
        <f t="shared" si="6"/>
        <v>1</v>
      </c>
      <c r="V32" s="113">
        <f>$R32*IFERROR(VLOOKUP(VLOOKUP($S32,Egységek!$B:$G,6,0),FUELS!$B$4:$F$19,2,0),0)/IFERROR(VLOOKUP($S32,Egységek!$B:$AA,26,0),1)+$T32*FUELS!C$5+$U32*FUELS!C$4</f>
        <v>2.2999999999999998</v>
      </c>
      <c r="W32" s="118">
        <f>+$R32*IFERROR(VLOOKUP(VLOOKUP($S32,Egységek!$B:$G,6,0),FUELS!$B$4:$F$19,3,0),0)/IFERROR(VLOOKUP(telephelyek!$S32,Egységek!$B:$AA,26,0),1)+$T32*FUELS!D$5+$U32*FUELS!D$4</f>
        <v>0.3</v>
      </c>
      <c r="X32" s="119">
        <f>+$R32*IFERROR(VLOOKUP(VLOOKUP($S32,Egységek!$B:$G,6,),FUELS!$B$4:$F$19,4,0),0)/IFERROR(VLOOKUP($S32,Egységek!$B:$AA,26,0),1)+$T32*FUELS!E$5+$U32*FUELS!E$4</f>
        <v>2.6</v>
      </c>
      <c r="Y32">
        <f>+$R32*IFERROR(VLOOKUP(VLOOKUP($S32,Egységek!$B:$G,6,),FUELS!$B$4:$F$19,5,0),0)/IFERROR(VLOOKUP($S32,Egységek!$B:$T,19,0),1)+$T32*FUELS!F$5+$U32*FUELS!F$4</f>
        <v>455</v>
      </c>
    </row>
    <row r="33" spans="1:25">
      <c r="A33" s="72"/>
      <c r="B33" s="72"/>
      <c r="C33" s="87">
        <f t="shared" si="0"/>
        <v>0</v>
      </c>
      <c r="D33" s="87">
        <f t="shared" si="1"/>
        <v>0</v>
      </c>
      <c r="E33" s="87">
        <f t="shared" si="2"/>
        <v>0</v>
      </c>
      <c r="F33" s="87">
        <f t="shared" si="3"/>
        <v>0</v>
      </c>
      <c r="G33" s="107" t="str">
        <f>IF(A33&lt;&gt;"",CONVERT(GETPIVOTDATA("Összeg / Nettó kiadott hő (Qki) MWh",Egység_összegzés!$A$1,"telephely",$A33,"rendszer",$B33),"MWh",$H33),"")</f>
        <v/>
      </c>
      <c r="H33" s="106"/>
      <c r="I33" s="69"/>
      <c r="J33" s="68"/>
      <c r="K33" s="71"/>
      <c r="L33" s="35"/>
      <c r="M33" s="79" t="str">
        <f t="shared" si="4"/>
        <v/>
      </c>
      <c r="N33" s="81"/>
      <c r="O33" s="52" t="e">
        <f>INDEX(alfa_vill.!$C$2:$C$4,MATCH(CONVERT(I33,J33,"kWh"),alfa_vill.!$A$2:$A$4,1))</f>
        <v>#N/A</v>
      </c>
      <c r="P33" s="83" t="e">
        <f t="shared" si="5"/>
        <v>#N/A</v>
      </c>
      <c r="Q33" s="84"/>
      <c r="R33" s="72"/>
      <c r="S33" s="72"/>
      <c r="T33" s="72"/>
      <c r="U33" s="53">
        <f t="shared" si="6"/>
        <v>1</v>
      </c>
      <c r="V33" s="113">
        <f>$R33*IFERROR(VLOOKUP(VLOOKUP($S33,Egységek!$B:$G,6,0),FUELS!$B$4:$F$19,2,0),0)/IFERROR(VLOOKUP($S33,Egységek!$B:$AA,26,0),1)+$T33*FUELS!C$5+$U33*FUELS!C$4</f>
        <v>2.2999999999999998</v>
      </c>
      <c r="W33" s="118">
        <f>+$R33*IFERROR(VLOOKUP(VLOOKUP($S33,Egységek!$B:$G,6,0),FUELS!$B$4:$F$19,3,0),0)/IFERROR(VLOOKUP(telephelyek!$S33,Egységek!$B:$AA,26,0),1)+$T33*FUELS!D$5+$U33*FUELS!D$4</f>
        <v>0.3</v>
      </c>
      <c r="X33" s="119">
        <f>+$R33*IFERROR(VLOOKUP(VLOOKUP($S33,Egységek!$B:$G,6,),FUELS!$B$4:$F$19,4,0),0)/IFERROR(VLOOKUP($S33,Egységek!$B:$AA,26,0),1)+$T33*FUELS!E$5+$U33*FUELS!E$4</f>
        <v>2.6</v>
      </c>
      <c r="Y33">
        <f>+$R33*IFERROR(VLOOKUP(VLOOKUP($S33,Egységek!$B:$G,6,),FUELS!$B$4:$F$19,5,0),0)/IFERROR(VLOOKUP($S33,Egységek!$B:$T,19,0),1)+$T33*FUELS!F$5+$U33*FUELS!F$4</f>
        <v>455</v>
      </c>
    </row>
    <row r="34" spans="1:25">
      <c r="A34" s="72"/>
      <c r="B34" s="72"/>
      <c r="C34" s="87">
        <f t="shared" si="0"/>
        <v>0</v>
      </c>
      <c r="D34" s="87">
        <f t="shared" si="1"/>
        <v>0</v>
      </c>
      <c r="E34" s="87">
        <f t="shared" si="2"/>
        <v>0</v>
      </c>
      <c r="F34" s="87">
        <f t="shared" si="3"/>
        <v>0</v>
      </c>
      <c r="G34" s="107" t="str">
        <f>IF(A34&lt;&gt;"",CONVERT(GETPIVOTDATA("Összeg / Nettó kiadott hő (Qki) MWh",Egység_összegzés!$A$1,"telephely",$A34,"rendszer",$B34),"MWh",$H34),"")</f>
        <v/>
      </c>
      <c r="H34" s="106"/>
      <c r="I34" s="69"/>
      <c r="J34" s="68"/>
      <c r="K34" s="71"/>
      <c r="L34" s="35"/>
      <c r="M34" s="79" t="str">
        <f t="shared" si="4"/>
        <v/>
      </c>
      <c r="N34" s="81"/>
      <c r="O34" s="52" t="e">
        <f>INDEX(alfa_vill.!$C$2:$C$4,MATCH(CONVERT(I34,J34,"kWh"),alfa_vill.!$A$2:$A$4,1))</f>
        <v>#N/A</v>
      </c>
      <c r="P34" s="83" t="e">
        <f t="shared" si="5"/>
        <v>#N/A</v>
      </c>
      <c r="Q34" s="84"/>
      <c r="R34" s="72"/>
      <c r="S34" s="72"/>
      <c r="T34" s="72"/>
      <c r="U34" s="53">
        <f t="shared" si="6"/>
        <v>1</v>
      </c>
      <c r="V34" s="113">
        <f>$R34*IFERROR(VLOOKUP(VLOOKUP($S34,Egységek!$B:$G,6,0),FUELS!$B$4:$F$19,2,0),0)/IFERROR(VLOOKUP($S34,Egységek!$B:$AA,26,0),1)+$T34*FUELS!C$5+$U34*FUELS!C$4</f>
        <v>2.2999999999999998</v>
      </c>
      <c r="W34" s="118">
        <f>+$R34*IFERROR(VLOOKUP(VLOOKUP($S34,Egységek!$B:$G,6,0),FUELS!$B$4:$F$19,3,0),0)/IFERROR(VLOOKUP(telephelyek!$S34,Egységek!$B:$AA,26,0),1)+$T34*FUELS!D$5+$U34*FUELS!D$4</f>
        <v>0.3</v>
      </c>
      <c r="X34" s="119">
        <f>+$R34*IFERROR(VLOOKUP(VLOOKUP($S34,Egységek!$B:$G,6,),FUELS!$B$4:$F$19,4,0),0)/IFERROR(VLOOKUP($S34,Egységek!$B:$AA,26,0),1)+$T34*FUELS!E$5+$U34*FUELS!E$4</f>
        <v>2.6</v>
      </c>
      <c r="Y34">
        <f>+$R34*IFERROR(VLOOKUP(VLOOKUP($S34,Egységek!$B:$G,6,),FUELS!$B$4:$F$19,5,0),0)/IFERROR(VLOOKUP($S34,Egységek!$B:$T,19,0),1)+$T34*FUELS!F$5+$U34*FUELS!F$4</f>
        <v>455</v>
      </c>
    </row>
    <row r="35" spans="1:25">
      <c r="A35" s="72"/>
      <c r="B35" s="72"/>
      <c r="C35" s="87">
        <f t="shared" si="0"/>
        <v>0</v>
      </c>
      <c r="D35" s="87">
        <f t="shared" si="1"/>
        <v>0</v>
      </c>
      <c r="E35" s="87">
        <f t="shared" si="2"/>
        <v>0</v>
      </c>
      <c r="F35" s="87">
        <f t="shared" si="3"/>
        <v>0</v>
      </c>
      <c r="G35" s="107" t="str">
        <f>IF(A35&lt;&gt;"",CONVERT(GETPIVOTDATA("Összeg / Nettó kiadott hő (Qki) MWh",Egység_összegzés!$A$1,"telephely",$A35,"rendszer",$B35),"MWh",$H35),"")</f>
        <v/>
      </c>
      <c r="H35" s="106"/>
      <c r="I35" s="69"/>
      <c r="J35" s="68"/>
      <c r="K35" s="71"/>
      <c r="L35" s="35"/>
      <c r="M35" s="79" t="str">
        <f t="shared" si="4"/>
        <v/>
      </c>
      <c r="N35" s="81"/>
      <c r="O35" s="52" t="e">
        <f>INDEX(alfa_vill.!$C$2:$C$4,MATCH(CONVERT(I35,J35,"kWh"),alfa_vill.!$A$2:$A$4,1))</f>
        <v>#N/A</v>
      </c>
      <c r="P35" s="83" t="e">
        <f t="shared" si="5"/>
        <v>#N/A</v>
      </c>
      <c r="Q35" s="84"/>
      <c r="R35" s="72"/>
      <c r="S35" s="72"/>
      <c r="T35" s="72"/>
      <c r="U35" s="53">
        <f t="shared" si="6"/>
        <v>1</v>
      </c>
      <c r="V35" s="113">
        <f>$R35*IFERROR(VLOOKUP(VLOOKUP($S35,Egységek!$B:$G,6,0),FUELS!$B$4:$F$19,2,0),0)/IFERROR(VLOOKUP($S35,Egységek!$B:$AA,26,0),1)+$T35*FUELS!C$5+$U35*FUELS!C$4</f>
        <v>2.2999999999999998</v>
      </c>
      <c r="W35" s="118">
        <f>+$R35*IFERROR(VLOOKUP(VLOOKUP($S35,Egységek!$B:$G,6,0),FUELS!$B$4:$F$19,3,0),0)/IFERROR(VLOOKUP(telephelyek!$S35,Egységek!$B:$AA,26,0),1)+$T35*FUELS!D$5+$U35*FUELS!D$4</f>
        <v>0.3</v>
      </c>
      <c r="X35" s="119">
        <f>+$R35*IFERROR(VLOOKUP(VLOOKUP($S35,Egységek!$B:$G,6,),FUELS!$B$4:$F$19,4,0),0)/IFERROR(VLOOKUP($S35,Egységek!$B:$AA,26,0),1)+$T35*FUELS!E$5+$U35*FUELS!E$4</f>
        <v>2.6</v>
      </c>
      <c r="Y35">
        <f>+$R35*IFERROR(VLOOKUP(VLOOKUP($S35,Egységek!$B:$G,6,),FUELS!$B$4:$F$19,5,0),0)/IFERROR(VLOOKUP($S35,Egységek!$B:$T,19,0),1)+$T35*FUELS!F$5+$U35*FUELS!F$4</f>
        <v>455</v>
      </c>
    </row>
    <row r="36" spans="1:25">
      <c r="A36" s="72"/>
      <c r="B36" s="72"/>
      <c r="C36" s="87">
        <f t="shared" si="0"/>
        <v>0</v>
      </c>
      <c r="D36" s="87">
        <f t="shared" si="1"/>
        <v>0</v>
      </c>
      <c r="E36" s="87">
        <f t="shared" si="2"/>
        <v>0</v>
      </c>
      <c r="F36" s="87">
        <f t="shared" si="3"/>
        <v>0</v>
      </c>
      <c r="G36" s="107" t="str">
        <f>IF(A36&lt;&gt;"",CONVERT(GETPIVOTDATA("Összeg / Nettó kiadott hő (Qki) MWh",Egység_összegzés!$A$1,"telephely",$A36,"rendszer",$B36),"MWh",$H36),"")</f>
        <v/>
      </c>
      <c r="H36" s="106"/>
      <c r="I36" s="69"/>
      <c r="J36" s="68"/>
      <c r="K36" s="71"/>
      <c r="L36" s="35"/>
      <c r="M36" s="79" t="str">
        <f t="shared" si="4"/>
        <v/>
      </c>
      <c r="N36" s="81"/>
      <c r="O36" s="52" t="e">
        <f>INDEX(alfa_vill.!$C$2:$C$4,MATCH(CONVERT(I36,J36,"kWh"),alfa_vill.!$A$2:$A$4,1))</f>
        <v>#N/A</v>
      </c>
      <c r="P36" s="83" t="e">
        <f t="shared" si="5"/>
        <v>#N/A</v>
      </c>
      <c r="Q36" s="84"/>
      <c r="R36" s="72"/>
      <c r="S36" s="72"/>
      <c r="T36" s="72"/>
      <c r="U36" s="53">
        <f t="shared" si="6"/>
        <v>1</v>
      </c>
      <c r="V36" s="113">
        <f>$R36*IFERROR(VLOOKUP(VLOOKUP($S36,Egységek!$B:$G,6,0),FUELS!$B$4:$F$19,2,0),0)/IFERROR(VLOOKUP($S36,Egységek!$B:$AA,26,0),1)+$T36*FUELS!C$5+$U36*FUELS!C$4</f>
        <v>2.2999999999999998</v>
      </c>
      <c r="W36" s="118">
        <f>+$R36*IFERROR(VLOOKUP(VLOOKUP($S36,Egységek!$B:$G,6,0),FUELS!$B$4:$F$19,3,0),0)/IFERROR(VLOOKUP(telephelyek!$S36,Egységek!$B:$AA,26,0),1)+$T36*FUELS!D$5+$U36*FUELS!D$4</f>
        <v>0.3</v>
      </c>
      <c r="X36" s="119">
        <f>+$R36*IFERROR(VLOOKUP(VLOOKUP($S36,Egységek!$B:$G,6,),FUELS!$B$4:$F$19,4,0),0)/IFERROR(VLOOKUP($S36,Egységek!$B:$AA,26,0),1)+$T36*FUELS!E$5+$U36*FUELS!E$4</f>
        <v>2.6</v>
      </c>
      <c r="Y36">
        <f>+$R36*IFERROR(VLOOKUP(VLOOKUP($S36,Egységek!$B:$G,6,),FUELS!$B$4:$F$19,5,0),0)/IFERROR(VLOOKUP($S36,Egységek!$B:$T,19,0),1)+$T36*FUELS!F$5+$U36*FUELS!F$4</f>
        <v>455</v>
      </c>
    </row>
    <row r="37" spans="1:25">
      <c r="A37" s="72"/>
      <c r="B37" s="72"/>
      <c r="C37" s="87">
        <f t="shared" si="0"/>
        <v>0</v>
      </c>
      <c r="D37" s="87">
        <f t="shared" si="1"/>
        <v>0</v>
      </c>
      <c r="E37" s="87">
        <f t="shared" si="2"/>
        <v>0</v>
      </c>
      <c r="F37" s="87">
        <f t="shared" si="3"/>
        <v>0</v>
      </c>
      <c r="G37" s="107" t="str">
        <f>IF(A37&lt;&gt;"",CONVERT(GETPIVOTDATA("Összeg / Nettó kiadott hő (Qki) MWh",Egység_összegzés!$A$1,"telephely",$A37,"rendszer",$B37),"MWh",$H37),"")</f>
        <v/>
      </c>
      <c r="H37" s="106"/>
      <c r="I37" s="69"/>
      <c r="J37" s="68"/>
      <c r="K37" s="71"/>
      <c r="L37" s="35"/>
      <c r="M37" s="79" t="str">
        <f t="shared" si="4"/>
        <v/>
      </c>
      <c r="N37" s="81"/>
      <c r="O37" s="52" t="e">
        <f>INDEX(alfa_vill.!$C$2:$C$4,MATCH(CONVERT(I37,J37,"kWh"),alfa_vill.!$A$2:$A$4,1))</f>
        <v>#N/A</v>
      </c>
      <c r="P37" s="83" t="e">
        <f t="shared" si="5"/>
        <v>#N/A</v>
      </c>
      <c r="Q37" s="84"/>
      <c r="R37" s="72"/>
      <c r="S37" s="72"/>
      <c r="T37" s="72"/>
      <c r="U37" s="53">
        <f t="shared" si="6"/>
        <v>1</v>
      </c>
      <c r="V37" s="113">
        <f>$R37*IFERROR(VLOOKUP(VLOOKUP($S37,Egységek!$B:$G,6,0),FUELS!$B$4:$F$19,2,0),0)/IFERROR(VLOOKUP($S37,Egységek!$B:$AA,26,0),1)+$T37*FUELS!C$5+$U37*FUELS!C$4</f>
        <v>2.2999999999999998</v>
      </c>
      <c r="W37" s="118">
        <f>+$R37*IFERROR(VLOOKUP(VLOOKUP($S37,Egységek!$B:$G,6,0),FUELS!$B$4:$F$19,3,0),0)/IFERROR(VLOOKUP(telephelyek!$S37,Egységek!$B:$AA,26,0),1)+$T37*FUELS!D$5+$U37*FUELS!D$4</f>
        <v>0.3</v>
      </c>
      <c r="X37" s="119">
        <f>+$R37*IFERROR(VLOOKUP(VLOOKUP($S37,Egységek!$B:$G,6,),FUELS!$B$4:$F$19,4,0),0)/IFERROR(VLOOKUP($S37,Egységek!$B:$AA,26,0),1)+$T37*FUELS!E$5+$U37*FUELS!E$4</f>
        <v>2.6</v>
      </c>
      <c r="Y37">
        <f>+$R37*IFERROR(VLOOKUP(VLOOKUP($S37,Egységek!$B:$G,6,),FUELS!$B$4:$F$19,5,0),0)/IFERROR(VLOOKUP($S37,Egységek!$B:$T,19,0),1)+$T37*FUELS!F$5+$U37*FUELS!F$4</f>
        <v>455</v>
      </c>
    </row>
    <row r="38" spans="1:25">
      <c r="A38" s="72"/>
      <c r="B38" s="72"/>
      <c r="C38" s="87">
        <f t="shared" si="0"/>
        <v>0</v>
      </c>
      <c r="D38" s="87">
        <f t="shared" si="1"/>
        <v>0</v>
      </c>
      <c r="E38" s="87">
        <f t="shared" si="2"/>
        <v>0</v>
      </c>
      <c r="F38" s="87">
        <f t="shared" si="3"/>
        <v>0</v>
      </c>
      <c r="G38" s="107" t="str">
        <f>IF(A38&lt;&gt;"",CONVERT(GETPIVOTDATA("Összeg / Nettó kiadott hő (Qki) MWh",Egység_összegzés!$A$1,"telephely",$A38,"rendszer",$B38),"MWh",$H38),"")</f>
        <v/>
      </c>
      <c r="H38" s="106"/>
      <c r="I38" s="69"/>
      <c r="J38" s="68"/>
      <c r="K38" s="71"/>
      <c r="L38" s="35"/>
      <c r="M38" s="79" t="str">
        <f t="shared" si="4"/>
        <v/>
      </c>
      <c r="N38" s="81"/>
      <c r="O38" s="52" t="e">
        <f>INDEX(alfa_vill.!$C$2:$C$4,MATCH(CONVERT(I38,J38,"kWh"),alfa_vill.!$A$2:$A$4,1))</f>
        <v>#N/A</v>
      </c>
      <c r="P38" s="83" t="e">
        <f t="shared" si="5"/>
        <v>#N/A</v>
      </c>
      <c r="Q38" s="84"/>
      <c r="R38" s="72"/>
      <c r="S38" s="72"/>
      <c r="T38" s="72"/>
      <c r="U38" s="53">
        <f t="shared" si="6"/>
        <v>1</v>
      </c>
      <c r="V38" s="113">
        <f>$R38*IFERROR(VLOOKUP(VLOOKUP($S38,Egységek!$B:$G,6,0),FUELS!$B$4:$F$19,2,0),0)/IFERROR(VLOOKUP($S38,Egységek!$B:$AA,26,0),1)+$T38*FUELS!C$5+$U38*FUELS!C$4</f>
        <v>2.2999999999999998</v>
      </c>
      <c r="W38" s="118">
        <f>+$R38*IFERROR(VLOOKUP(VLOOKUP($S38,Egységek!$B:$G,6,0),FUELS!$B$4:$F$19,3,0),0)/IFERROR(VLOOKUP(telephelyek!$S38,Egységek!$B:$AA,26,0),1)+$T38*FUELS!D$5+$U38*FUELS!D$4</f>
        <v>0.3</v>
      </c>
      <c r="X38" s="119">
        <f>+$R38*IFERROR(VLOOKUP(VLOOKUP($S38,Egységek!$B:$G,6,),FUELS!$B$4:$F$19,4,0),0)/IFERROR(VLOOKUP($S38,Egységek!$B:$AA,26,0),1)+$T38*FUELS!E$5+$U38*FUELS!E$4</f>
        <v>2.6</v>
      </c>
      <c r="Y38">
        <f>+$R38*IFERROR(VLOOKUP(VLOOKUP($S38,Egységek!$B:$G,6,),FUELS!$B$4:$F$19,5,0),0)/IFERROR(VLOOKUP($S38,Egységek!$B:$T,19,0),1)+$T38*FUELS!F$5+$U38*FUELS!F$4</f>
        <v>455</v>
      </c>
    </row>
    <row r="39" spans="1:25">
      <c r="A39" s="72"/>
      <c r="B39" s="72"/>
      <c r="C39" s="87">
        <f t="shared" si="0"/>
        <v>0</v>
      </c>
      <c r="D39" s="87">
        <f t="shared" si="1"/>
        <v>0</v>
      </c>
      <c r="E39" s="87">
        <f t="shared" si="2"/>
        <v>0</v>
      </c>
      <c r="F39" s="87">
        <f t="shared" si="3"/>
        <v>0</v>
      </c>
      <c r="G39" s="107" t="str">
        <f>IF(A39&lt;&gt;"",CONVERT(GETPIVOTDATA("Összeg / Nettó kiadott hő (Qki) MWh",Egység_összegzés!$A$1,"telephely",$A39,"rendszer",$B39),"MWh",$H39),"")</f>
        <v/>
      </c>
      <c r="H39" s="106"/>
      <c r="I39" s="69"/>
      <c r="J39" s="68"/>
      <c r="K39" s="71"/>
      <c r="L39" s="35"/>
      <c r="M39" s="79" t="str">
        <f t="shared" si="4"/>
        <v/>
      </c>
      <c r="N39" s="81"/>
      <c r="O39" s="52" t="e">
        <f>INDEX(alfa_vill.!$C$2:$C$4,MATCH(CONVERT(I39,J39,"kWh"),alfa_vill.!$A$2:$A$4,1))</f>
        <v>#N/A</v>
      </c>
      <c r="P39" s="83" t="e">
        <f t="shared" si="5"/>
        <v>#N/A</v>
      </c>
      <c r="Q39" s="84"/>
      <c r="R39" s="72"/>
      <c r="S39" s="72"/>
      <c r="T39" s="72"/>
      <c r="U39" s="53">
        <f t="shared" si="6"/>
        <v>1</v>
      </c>
      <c r="V39" s="113">
        <f>$R39*IFERROR(VLOOKUP(VLOOKUP($S39,Egységek!$B:$G,6,0),FUELS!$B$4:$F$19,2,0),0)/IFERROR(VLOOKUP($S39,Egységek!$B:$AA,26,0),1)+$T39*FUELS!C$5+$U39*FUELS!C$4</f>
        <v>2.2999999999999998</v>
      </c>
      <c r="W39" s="118">
        <f>+$R39*IFERROR(VLOOKUP(VLOOKUP($S39,Egységek!$B:$G,6,0),FUELS!$B$4:$F$19,3,0),0)/IFERROR(VLOOKUP(telephelyek!$S39,Egységek!$B:$AA,26,0),1)+$T39*FUELS!D$5+$U39*FUELS!D$4</f>
        <v>0.3</v>
      </c>
      <c r="X39" s="119">
        <f>+$R39*IFERROR(VLOOKUP(VLOOKUP($S39,Egységek!$B:$G,6,),FUELS!$B$4:$F$19,4,0),0)/IFERROR(VLOOKUP($S39,Egységek!$B:$AA,26,0),1)+$T39*FUELS!E$5+$U39*FUELS!E$4</f>
        <v>2.6</v>
      </c>
      <c r="Y39">
        <f>+$R39*IFERROR(VLOOKUP(VLOOKUP($S39,Egységek!$B:$G,6,),FUELS!$B$4:$F$19,5,0),0)/IFERROR(VLOOKUP($S39,Egységek!$B:$T,19,0),1)+$T39*FUELS!F$5+$U39*FUELS!F$4</f>
        <v>455</v>
      </c>
    </row>
    <row r="40" spans="1:25">
      <c r="A40" s="72"/>
      <c r="B40" s="72"/>
      <c r="C40" s="87">
        <f t="shared" si="0"/>
        <v>0</v>
      </c>
      <c r="D40" s="87">
        <f t="shared" si="1"/>
        <v>0</v>
      </c>
      <c r="E40" s="87">
        <f t="shared" si="2"/>
        <v>0</v>
      </c>
      <c r="F40" s="87">
        <f t="shared" si="3"/>
        <v>0</v>
      </c>
      <c r="G40" s="107" t="str">
        <f>IF(A40&lt;&gt;"",CONVERT(GETPIVOTDATA("Összeg / Nettó kiadott hő (Qki) MWh",Egység_összegzés!$A$1,"telephely",$A40,"rendszer",$B40),"MWh",$H40),"")</f>
        <v/>
      </c>
      <c r="H40" s="106"/>
      <c r="I40" s="69"/>
      <c r="J40" s="68"/>
      <c r="K40" s="71"/>
      <c r="L40" s="35"/>
      <c r="M40" s="79" t="str">
        <f t="shared" si="4"/>
        <v/>
      </c>
      <c r="N40" s="81"/>
      <c r="O40" s="52" t="e">
        <f>INDEX(alfa_vill.!$C$2:$C$4,MATCH(CONVERT(I40,J40,"kWh"),alfa_vill.!$A$2:$A$4,1))</f>
        <v>#N/A</v>
      </c>
      <c r="P40" s="83" t="e">
        <f t="shared" si="5"/>
        <v>#N/A</v>
      </c>
      <c r="Q40" s="84"/>
      <c r="R40" s="72"/>
      <c r="S40" s="72"/>
      <c r="T40" s="72"/>
      <c r="U40" s="53">
        <f t="shared" si="6"/>
        <v>1</v>
      </c>
      <c r="V40" s="113">
        <f>$R40*IFERROR(VLOOKUP(VLOOKUP($S40,Egységek!$B:$G,6,0),FUELS!$B$4:$F$19,2,0),0)/IFERROR(VLOOKUP($S40,Egységek!$B:$AA,26,0),1)+$T40*FUELS!C$5+$U40*FUELS!C$4</f>
        <v>2.2999999999999998</v>
      </c>
      <c r="W40" s="118">
        <f>+$R40*IFERROR(VLOOKUP(VLOOKUP($S40,Egységek!$B:$G,6,0),FUELS!$B$4:$F$19,3,0),0)/IFERROR(VLOOKUP(telephelyek!$S40,Egységek!$B:$AA,26,0),1)+$T40*FUELS!D$5+$U40*FUELS!D$4</f>
        <v>0.3</v>
      </c>
      <c r="X40" s="119">
        <f>+$R40*IFERROR(VLOOKUP(VLOOKUP($S40,Egységek!$B:$G,6,),FUELS!$B$4:$F$19,4,0),0)/IFERROR(VLOOKUP($S40,Egységek!$B:$AA,26,0),1)+$T40*FUELS!E$5+$U40*FUELS!E$4</f>
        <v>2.6</v>
      </c>
      <c r="Y40">
        <f>+$R40*IFERROR(VLOOKUP(VLOOKUP($S40,Egységek!$B:$G,6,),FUELS!$B$4:$F$19,5,0),0)/IFERROR(VLOOKUP($S40,Egységek!$B:$T,19,0),1)+$T40*FUELS!F$5+$U40*FUELS!F$4</f>
        <v>455</v>
      </c>
    </row>
    <row r="41" spans="1:25">
      <c r="A41" s="72"/>
      <c r="B41" s="72"/>
      <c r="C41" s="87">
        <f t="shared" si="0"/>
        <v>0</v>
      </c>
      <c r="D41" s="87">
        <f t="shared" si="1"/>
        <v>0</v>
      </c>
      <c r="E41" s="87">
        <f t="shared" si="2"/>
        <v>0</v>
      </c>
      <c r="F41" s="87">
        <f t="shared" si="3"/>
        <v>0</v>
      </c>
      <c r="G41" s="107" t="str">
        <f>IF(A41&lt;&gt;"",CONVERT(GETPIVOTDATA("Összeg / Nettó kiadott hő (Qki) MWh",Egység_összegzés!$A$1,"telephely",$A41,"rendszer",$B41),"MWh",$H41),"")</f>
        <v/>
      </c>
      <c r="H41" s="106"/>
      <c r="I41" s="69"/>
      <c r="J41" s="68"/>
      <c r="K41" s="71"/>
      <c r="L41" s="35"/>
      <c r="M41" s="79" t="str">
        <f t="shared" si="4"/>
        <v/>
      </c>
      <c r="N41" s="81"/>
      <c r="O41" s="52" t="e">
        <f>INDEX(alfa_vill.!$C$2:$C$4,MATCH(CONVERT(I41,J41,"kWh"),alfa_vill.!$A$2:$A$4,1))</f>
        <v>#N/A</v>
      </c>
      <c r="P41" s="83" t="e">
        <f t="shared" si="5"/>
        <v>#N/A</v>
      </c>
      <c r="Q41" s="84"/>
      <c r="R41" s="72"/>
      <c r="S41" s="72"/>
      <c r="T41" s="72"/>
      <c r="U41" s="53">
        <f t="shared" si="6"/>
        <v>1</v>
      </c>
      <c r="V41" s="113">
        <f>$R41*IFERROR(VLOOKUP(VLOOKUP($S41,Egységek!$B:$G,6,0),FUELS!$B$4:$F$19,2,0),0)/IFERROR(VLOOKUP($S41,Egységek!$B:$AA,26,0),1)+$T41*FUELS!C$5+$U41*FUELS!C$4</f>
        <v>2.2999999999999998</v>
      </c>
      <c r="W41" s="118">
        <f>+$R41*IFERROR(VLOOKUP(VLOOKUP($S41,Egységek!$B:$G,6,0),FUELS!$B$4:$F$19,3,0),0)/IFERROR(VLOOKUP(telephelyek!$S41,Egységek!$B:$AA,26,0),1)+$T41*FUELS!D$5+$U41*FUELS!D$4</f>
        <v>0.3</v>
      </c>
      <c r="X41" s="119">
        <f>+$R41*IFERROR(VLOOKUP(VLOOKUP($S41,Egységek!$B:$G,6,),FUELS!$B$4:$F$19,4,0),0)/IFERROR(VLOOKUP($S41,Egységek!$B:$AA,26,0),1)+$T41*FUELS!E$5+$U41*FUELS!E$4</f>
        <v>2.6</v>
      </c>
      <c r="Y41">
        <f>+$R41*IFERROR(VLOOKUP(VLOOKUP($S41,Egységek!$B:$G,6,),FUELS!$B$4:$F$19,5,0),0)/IFERROR(VLOOKUP($S41,Egységek!$B:$T,19,0),1)+$T41*FUELS!F$5+$U41*FUELS!F$4</f>
        <v>455</v>
      </c>
    </row>
    <row r="42" spans="1:25">
      <c r="A42" s="72"/>
      <c r="B42" s="72"/>
      <c r="C42" s="87">
        <f t="shared" si="0"/>
        <v>0</v>
      </c>
      <c r="D42" s="87">
        <f t="shared" si="1"/>
        <v>0</v>
      </c>
      <c r="E42" s="87">
        <f t="shared" si="2"/>
        <v>0</v>
      </c>
      <c r="F42" s="87">
        <f t="shared" si="3"/>
        <v>0</v>
      </c>
      <c r="G42" s="107" t="str">
        <f>IF(A42&lt;&gt;"",CONVERT(GETPIVOTDATA("Összeg / Nettó kiadott hő (Qki) MWh",Egység_összegzés!$A$1,"telephely",$A42,"rendszer",$B42),"MWh",$H42),"")</f>
        <v/>
      </c>
      <c r="H42" s="106"/>
      <c r="I42" s="69"/>
      <c r="J42" s="68"/>
      <c r="K42" s="71"/>
      <c r="L42" s="35"/>
      <c r="M42" s="79" t="str">
        <f t="shared" si="4"/>
        <v/>
      </c>
      <c r="N42" s="81"/>
      <c r="O42" s="52" t="e">
        <f>INDEX(alfa_vill.!$C$2:$C$4,MATCH(CONVERT(I42,J42,"kWh"),alfa_vill.!$A$2:$A$4,1))</f>
        <v>#N/A</v>
      </c>
      <c r="P42" s="83" t="e">
        <f t="shared" si="5"/>
        <v>#N/A</v>
      </c>
      <c r="Q42" s="84"/>
      <c r="R42" s="72"/>
      <c r="S42" s="72"/>
      <c r="T42" s="72"/>
      <c r="U42" s="53">
        <f t="shared" si="6"/>
        <v>1</v>
      </c>
      <c r="V42" s="113">
        <f>$R42*IFERROR(VLOOKUP(VLOOKUP($S42,Egységek!$B:$G,6,0),FUELS!$B$4:$F$19,2,0),0)/IFERROR(VLOOKUP($S42,Egységek!$B:$AA,26,0),1)+$T42*FUELS!C$5+$U42*FUELS!C$4</f>
        <v>2.2999999999999998</v>
      </c>
      <c r="W42" s="118">
        <f>+$R42*IFERROR(VLOOKUP(VLOOKUP($S42,Egységek!$B:$G,6,0),FUELS!$B$4:$F$19,3,0),0)/IFERROR(VLOOKUP(telephelyek!$S42,Egységek!$B:$AA,26,0),1)+$T42*FUELS!D$5+$U42*FUELS!D$4</f>
        <v>0.3</v>
      </c>
      <c r="X42" s="119">
        <f>+$R42*IFERROR(VLOOKUP(VLOOKUP($S42,Egységek!$B:$G,6,),FUELS!$B$4:$F$19,4,0),0)/IFERROR(VLOOKUP($S42,Egységek!$B:$AA,26,0),1)+$T42*FUELS!E$5+$U42*FUELS!E$4</f>
        <v>2.6</v>
      </c>
      <c r="Y42">
        <f>+$R42*IFERROR(VLOOKUP(VLOOKUP($S42,Egységek!$B:$G,6,),FUELS!$B$4:$F$19,5,0),0)/IFERROR(VLOOKUP($S42,Egységek!$B:$T,19,0),1)+$T42*FUELS!F$5+$U42*FUELS!F$4</f>
        <v>455</v>
      </c>
    </row>
    <row r="43" spans="1:25">
      <c r="A43" s="72"/>
      <c r="B43" s="72"/>
      <c r="C43" s="87">
        <f t="shared" si="0"/>
        <v>0</v>
      </c>
      <c r="D43" s="87">
        <f t="shared" si="1"/>
        <v>0</v>
      </c>
      <c r="E43" s="87">
        <f t="shared" si="2"/>
        <v>0</v>
      </c>
      <c r="F43" s="87">
        <f t="shared" si="3"/>
        <v>0</v>
      </c>
      <c r="G43" s="107" t="str">
        <f>IF(A43&lt;&gt;"",CONVERT(GETPIVOTDATA("Összeg / Nettó kiadott hő (Qki) MWh",Egység_összegzés!$A$1,"telephely",$A43,"rendszer",$B43),"MWh",$H43),"")</f>
        <v/>
      </c>
      <c r="H43" s="106"/>
      <c r="I43" s="69"/>
      <c r="J43" s="68"/>
      <c r="K43" s="71"/>
      <c r="L43" s="35"/>
      <c r="M43" s="79" t="str">
        <f t="shared" si="4"/>
        <v/>
      </c>
      <c r="N43" s="81"/>
      <c r="O43" s="52" t="e">
        <f>INDEX(alfa_vill.!$C$2:$C$4,MATCH(CONVERT(I43,J43,"kWh"),alfa_vill.!$A$2:$A$4,1))</f>
        <v>#N/A</v>
      </c>
      <c r="P43" s="83" t="e">
        <f t="shared" si="5"/>
        <v>#N/A</v>
      </c>
      <c r="Q43" s="84"/>
      <c r="R43" s="72"/>
      <c r="S43" s="72"/>
      <c r="T43" s="72"/>
      <c r="U43" s="53">
        <f t="shared" si="6"/>
        <v>1</v>
      </c>
      <c r="V43" s="113">
        <f>$R43*IFERROR(VLOOKUP(VLOOKUP($S43,Egységek!$B:$G,6,0),FUELS!$B$4:$F$19,2,0),0)/IFERROR(VLOOKUP($S43,Egységek!$B:$AA,26,0),1)+$T43*FUELS!C$5+$U43*FUELS!C$4</f>
        <v>2.2999999999999998</v>
      </c>
      <c r="W43" s="118">
        <f>+$R43*IFERROR(VLOOKUP(VLOOKUP($S43,Egységek!$B:$G,6,0),FUELS!$B$4:$F$19,3,0),0)/IFERROR(VLOOKUP(telephelyek!$S43,Egységek!$B:$AA,26,0),1)+$T43*FUELS!D$5+$U43*FUELS!D$4</f>
        <v>0.3</v>
      </c>
      <c r="X43" s="119">
        <f>+$R43*IFERROR(VLOOKUP(VLOOKUP($S43,Egységek!$B:$G,6,),FUELS!$B$4:$F$19,4,0),0)/IFERROR(VLOOKUP($S43,Egységek!$B:$AA,26,0),1)+$T43*FUELS!E$5+$U43*FUELS!E$4</f>
        <v>2.6</v>
      </c>
      <c r="Y43">
        <f>+$R43*IFERROR(VLOOKUP(VLOOKUP($S43,Egységek!$B:$G,6,),FUELS!$B$4:$F$19,5,0),0)/IFERROR(VLOOKUP($S43,Egységek!$B:$T,19,0),1)+$T43*FUELS!F$5+$U43*FUELS!F$4</f>
        <v>455</v>
      </c>
    </row>
    <row r="44" spans="1:25">
      <c r="A44" s="72"/>
      <c r="B44" s="72"/>
      <c r="C44" s="87">
        <f t="shared" si="0"/>
        <v>0</v>
      </c>
      <c r="D44" s="87">
        <f t="shared" si="1"/>
        <v>0</v>
      </c>
      <c r="E44" s="87">
        <f t="shared" si="2"/>
        <v>0</v>
      </c>
      <c r="F44" s="87">
        <f t="shared" si="3"/>
        <v>0</v>
      </c>
      <c r="G44" s="107" t="str">
        <f>IF(A44&lt;&gt;"",CONVERT(GETPIVOTDATA("Összeg / Nettó kiadott hő (Qki) MWh",Egység_összegzés!$A$1,"telephely",$A44,"rendszer",$B44),"MWh",$H44),"")</f>
        <v/>
      </c>
      <c r="H44" s="106"/>
      <c r="I44" s="69"/>
      <c r="J44" s="68"/>
      <c r="K44" s="71"/>
      <c r="L44" s="35"/>
      <c r="M44" s="79" t="str">
        <f t="shared" si="4"/>
        <v/>
      </c>
      <c r="N44" s="81"/>
      <c r="O44" s="52" t="e">
        <f>INDEX(alfa_vill.!$C$2:$C$4,MATCH(CONVERT(I44,J44,"kWh"),alfa_vill.!$A$2:$A$4,1))</f>
        <v>#N/A</v>
      </c>
      <c r="P44" s="83" t="e">
        <f t="shared" si="5"/>
        <v>#N/A</v>
      </c>
      <c r="Q44" s="84"/>
      <c r="R44" s="72"/>
      <c r="S44" s="72"/>
      <c r="T44" s="72"/>
      <c r="U44" s="53">
        <f t="shared" si="6"/>
        <v>1</v>
      </c>
      <c r="V44" s="113">
        <f>$R44*IFERROR(VLOOKUP(VLOOKUP($S44,Egységek!$B:$G,6,0),FUELS!$B$4:$F$19,2,0),0)/IFERROR(VLOOKUP($S44,Egységek!$B:$AA,26,0),1)+$T44*FUELS!C$5+$U44*FUELS!C$4</f>
        <v>2.2999999999999998</v>
      </c>
      <c r="W44" s="118">
        <f>+$R44*IFERROR(VLOOKUP(VLOOKUP($S44,Egységek!$B:$G,6,0),FUELS!$B$4:$F$19,3,0),0)/IFERROR(VLOOKUP(telephelyek!$S44,Egységek!$B:$AA,26,0),1)+$T44*FUELS!D$5+$U44*FUELS!D$4</f>
        <v>0.3</v>
      </c>
      <c r="X44" s="119">
        <f>+$R44*IFERROR(VLOOKUP(VLOOKUP($S44,Egységek!$B:$G,6,),FUELS!$B$4:$F$19,4,0),0)/IFERROR(VLOOKUP($S44,Egységek!$B:$AA,26,0),1)+$T44*FUELS!E$5+$U44*FUELS!E$4</f>
        <v>2.6</v>
      </c>
      <c r="Y44">
        <f>+$R44*IFERROR(VLOOKUP(VLOOKUP($S44,Egységek!$B:$G,6,),FUELS!$B$4:$F$19,5,0),0)/IFERROR(VLOOKUP($S44,Egységek!$B:$T,19,0),1)+$T44*FUELS!F$5+$U44*FUELS!F$4</f>
        <v>455</v>
      </c>
    </row>
    <row r="45" spans="1:25">
      <c r="A45" s="72"/>
      <c r="B45" s="72"/>
      <c r="C45" s="87">
        <f t="shared" si="0"/>
        <v>0</v>
      </c>
      <c r="D45" s="87">
        <f t="shared" si="1"/>
        <v>0</v>
      </c>
      <c r="E45" s="87">
        <f t="shared" si="2"/>
        <v>0</v>
      </c>
      <c r="F45" s="87">
        <f t="shared" si="3"/>
        <v>0</v>
      </c>
      <c r="G45" s="107" t="str">
        <f>IF(A45&lt;&gt;"",CONVERT(GETPIVOTDATA("Összeg / Nettó kiadott hő (Qki) MWh",Egység_összegzés!$A$1,"telephely",$A45,"rendszer",$B45),"MWh",$H45),"")</f>
        <v/>
      </c>
      <c r="H45" s="106"/>
      <c r="I45" s="69"/>
      <c r="J45" s="68"/>
      <c r="K45" s="71"/>
      <c r="L45" s="35"/>
      <c r="M45" s="79" t="str">
        <f t="shared" si="4"/>
        <v/>
      </c>
      <c r="N45" s="81"/>
      <c r="O45" s="52" t="e">
        <f>INDEX(alfa_vill.!$C$2:$C$4,MATCH(CONVERT(I45,J45,"kWh"),alfa_vill.!$A$2:$A$4,1))</f>
        <v>#N/A</v>
      </c>
      <c r="P45" s="83" t="e">
        <f t="shared" si="5"/>
        <v>#N/A</v>
      </c>
      <c r="Q45" s="84"/>
      <c r="R45" s="72"/>
      <c r="S45" s="72"/>
      <c r="T45" s="72"/>
      <c r="U45" s="53">
        <f t="shared" si="6"/>
        <v>1</v>
      </c>
      <c r="V45" s="113">
        <f>$R45*IFERROR(VLOOKUP(VLOOKUP($S45,Egységek!$B:$G,6,0),FUELS!$B$4:$F$19,2,0),0)/IFERROR(VLOOKUP($S45,Egységek!$B:$AA,26,0),1)+$T45*FUELS!C$5+$U45*FUELS!C$4</f>
        <v>2.2999999999999998</v>
      </c>
      <c r="W45" s="118">
        <f>+$R45*IFERROR(VLOOKUP(VLOOKUP($S45,Egységek!$B:$G,6,0),FUELS!$B$4:$F$19,3,0),0)/IFERROR(VLOOKUP(telephelyek!$S45,Egységek!$B:$AA,26,0),1)+$T45*FUELS!D$5+$U45*FUELS!D$4</f>
        <v>0.3</v>
      </c>
      <c r="X45" s="119">
        <f>+$R45*IFERROR(VLOOKUP(VLOOKUP($S45,Egységek!$B:$G,6,),FUELS!$B$4:$F$19,4,0),0)/IFERROR(VLOOKUP($S45,Egységek!$B:$AA,26,0),1)+$T45*FUELS!E$5+$U45*FUELS!E$4</f>
        <v>2.6</v>
      </c>
      <c r="Y45">
        <f>+$R45*IFERROR(VLOOKUP(VLOOKUP($S45,Egységek!$B:$G,6,),FUELS!$B$4:$F$19,5,0),0)/IFERROR(VLOOKUP($S45,Egységek!$B:$T,19,0),1)+$T45*FUELS!F$5+$U45*FUELS!F$4</f>
        <v>455</v>
      </c>
    </row>
    <row r="46" spans="1:25">
      <c r="A46" s="72"/>
      <c r="B46" s="72"/>
      <c r="C46" s="87">
        <f t="shared" si="0"/>
        <v>0</v>
      </c>
      <c r="D46" s="87">
        <f t="shared" si="1"/>
        <v>0</v>
      </c>
      <c r="E46" s="87">
        <f t="shared" si="2"/>
        <v>0</v>
      </c>
      <c r="F46" s="87">
        <f t="shared" si="3"/>
        <v>0</v>
      </c>
      <c r="G46" s="107" t="str">
        <f>IF(A46&lt;&gt;"",CONVERT(GETPIVOTDATA("Összeg / Nettó kiadott hő (Qki) MWh",Egység_összegzés!$A$1,"telephely",$A46,"rendszer",$B46),"MWh",$H46),"")</f>
        <v/>
      </c>
      <c r="H46" s="106"/>
      <c r="I46" s="69"/>
      <c r="J46" s="68"/>
      <c r="K46" s="71"/>
      <c r="L46" s="35"/>
      <c r="M46" s="79" t="str">
        <f t="shared" si="4"/>
        <v/>
      </c>
      <c r="N46" s="81"/>
      <c r="O46" s="52" t="e">
        <f>INDEX(alfa_vill.!$C$2:$C$4,MATCH(CONVERT(I46,J46,"kWh"),alfa_vill.!$A$2:$A$4,1))</f>
        <v>#N/A</v>
      </c>
      <c r="P46" s="83" t="e">
        <f t="shared" si="5"/>
        <v>#N/A</v>
      </c>
      <c r="Q46" s="84"/>
      <c r="R46" s="72"/>
      <c r="S46" s="72"/>
      <c r="T46" s="72"/>
      <c r="U46" s="53">
        <f t="shared" si="6"/>
        <v>1</v>
      </c>
      <c r="V46" s="113">
        <f>$R46*IFERROR(VLOOKUP(VLOOKUP($S46,Egységek!$B:$G,6,0),FUELS!$B$4:$F$19,2,0),0)/IFERROR(VLOOKUP($S46,Egységek!$B:$AA,26,0),1)+$T46*FUELS!C$5+$U46*FUELS!C$4</f>
        <v>2.2999999999999998</v>
      </c>
      <c r="W46" s="118">
        <f>+$R46*IFERROR(VLOOKUP(VLOOKUP($S46,Egységek!$B:$G,6,0),FUELS!$B$4:$F$19,3,0),0)/IFERROR(VLOOKUP(telephelyek!$S46,Egységek!$B:$AA,26,0),1)+$T46*FUELS!D$5+$U46*FUELS!D$4</f>
        <v>0.3</v>
      </c>
      <c r="X46" s="119">
        <f>+$R46*IFERROR(VLOOKUP(VLOOKUP($S46,Egységek!$B:$G,6,),FUELS!$B$4:$F$19,4,0),0)/IFERROR(VLOOKUP($S46,Egységek!$B:$AA,26,0),1)+$T46*FUELS!E$5+$U46*FUELS!E$4</f>
        <v>2.6</v>
      </c>
      <c r="Y46">
        <f>+$R46*IFERROR(VLOOKUP(VLOOKUP($S46,Egységek!$B:$G,6,),FUELS!$B$4:$F$19,5,0),0)/IFERROR(VLOOKUP($S46,Egységek!$B:$T,19,0),1)+$T46*FUELS!F$5+$U46*FUELS!F$4</f>
        <v>455</v>
      </c>
    </row>
    <row r="47" spans="1:25">
      <c r="A47" s="72"/>
      <c r="B47" s="72"/>
      <c r="C47" s="87">
        <f t="shared" si="0"/>
        <v>0</v>
      </c>
      <c r="D47" s="87">
        <f t="shared" si="1"/>
        <v>0</v>
      </c>
      <c r="E47" s="87">
        <f t="shared" si="2"/>
        <v>0</v>
      </c>
      <c r="F47" s="87">
        <f t="shared" si="3"/>
        <v>0</v>
      </c>
      <c r="G47" s="107" t="str">
        <f>IF(A47&lt;&gt;"",CONVERT(GETPIVOTDATA("Összeg / Nettó kiadott hő (Qki) MWh",Egység_összegzés!$A$1,"telephely",$A47,"rendszer",$B47),"MWh",$H47),"")</f>
        <v/>
      </c>
      <c r="H47" s="106"/>
      <c r="I47" s="69"/>
      <c r="J47" s="68"/>
      <c r="K47" s="71"/>
      <c r="L47" s="35"/>
      <c r="M47" s="79" t="str">
        <f t="shared" si="4"/>
        <v/>
      </c>
      <c r="N47" s="81"/>
      <c r="O47" s="52" t="e">
        <f>INDEX(alfa_vill.!$C$2:$C$4,MATCH(CONVERT(I47,J47,"kWh"),alfa_vill.!$A$2:$A$4,1))</f>
        <v>#N/A</v>
      </c>
      <c r="P47" s="83" t="e">
        <f t="shared" si="5"/>
        <v>#N/A</v>
      </c>
      <c r="Q47" s="84"/>
      <c r="R47" s="72"/>
      <c r="S47" s="72"/>
      <c r="T47" s="72"/>
      <c r="U47" s="53">
        <f t="shared" si="6"/>
        <v>1</v>
      </c>
      <c r="V47" s="113">
        <f>$R47*IFERROR(VLOOKUP(VLOOKUP($S47,Egységek!$B:$G,6,0),FUELS!$B$4:$F$19,2,0),0)/IFERROR(VLOOKUP($S47,Egységek!$B:$AA,26,0),1)+$T47*FUELS!C$5+$U47*FUELS!C$4</f>
        <v>2.2999999999999998</v>
      </c>
      <c r="W47" s="118">
        <f>+$R47*IFERROR(VLOOKUP(VLOOKUP($S47,Egységek!$B:$G,6,0),FUELS!$B$4:$F$19,3,0),0)/IFERROR(VLOOKUP(telephelyek!$S47,Egységek!$B:$AA,26,0),1)+$T47*FUELS!D$5+$U47*FUELS!D$4</f>
        <v>0.3</v>
      </c>
      <c r="X47" s="119">
        <f>+$R47*IFERROR(VLOOKUP(VLOOKUP($S47,Egységek!$B:$G,6,),FUELS!$B$4:$F$19,4,0),0)/IFERROR(VLOOKUP($S47,Egységek!$B:$AA,26,0),1)+$T47*FUELS!E$5+$U47*FUELS!E$4</f>
        <v>2.6</v>
      </c>
      <c r="Y47">
        <f>+$R47*IFERROR(VLOOKUP(VLOOKUP($S47,Egységek!$B:$G,6,),FUELS!$B$4:$F$19,5,0),0)/IFERROR(VLOOKUP($S47,Egységek!$B:$T,19,0),1)+$T47*FUELS!F$5+$U47*FUELS!F$4</f>
        <v>455</v>
      </c>
    </row>
    <row r="48" spans="1:25">
      <c r="A48" s="72"/>
      <c r="B48" s="72"/>
      <c r="C48" s="87">
        <f t="shared" si="0"/>
        <v>0</v>
      </c>
      <c r="D48" s="87">
        <f t="shared" si="1"/>
        <v>0</v>
      </c>
      <c r="E48" s="87">
        <f t="shared" si="2"/>
        <v>0</v>
      </c>
      <c r="F48" s="87">
        <f t="shared" si="3"/>
        <v>0</v>
      </c>
      <c r="G48" s="107" t="str">
        <f>IF(A48&lt;&gt;"",CONVERT(GETPIVOTDATA("Összeg / Nettó kiadott hő (Qki) MWh",Egység_összegzés!$A$1,"telephely",$A48,"rendszer",$B48),"MWh",$H48),"")</f>
        <v/>
      </c>
      <c r="H48" s="106"/>
      <c r="I48" s="69"/>
      <c r="J48" s="68"/>
      <c r="K48" s="71"/>
      <c r="L48" s="35"/>
      <c r="M48" s="79" t="str">
        <f t="shared" si="4"/>
        <v/>
      </c>
      <c r="N48" s="81"/>
      <c r="O48" s="52" t="e">
        <f>INDEX(alfa_vill.!$C$2:$C$4,MATCH(CONVERT(I48,J48,"kWh"),alfa_vill.!$A$2:$A$4,1))</f>
        <v>#N/A</v>
      </c>
      <c r="P48" s="83" t="e">
        <f t="shared" si="5"/>
        <v>#N/A</v>
      </c>
      <c r="Q48" s="84"/>
      <c r="R48" s="72"/>
      <c r="S48" s="72"/>
      <c r="T48" s="72"/>
      <c r="U48" s="53">
        <f t="shared" si="6"/>
        <v>1</v>
      </c>
      <c r="V48" s="113">
        <f>$R48*IFERROR(VLOOKUP(VLOOKUP($S48,Egységek!$B:$G,6,0),FUELS!$B$4:$F$19,2,0),0)/IFERROR(VLOOKUP($S48,Egységek!$B:$AA,26,0),1)+$T48*FUELS!C$5+$U48*FUELS!C$4</f>
        <v>2.2999999999999998</v>
      </c>
      <c r="W48" s="118">
        <f>+$R48*IFERROR(VLOOKUP(VLOOKUP($S48,Egységek!$B:$G,6,0),FUELS!$B$4:$F$19,3,0),0)/IFERROR(VLOOKUP(telephelyek!$S48,Egységek!$B:$AA,26,0),1)+$T48*FUELS!D$5+$U48*FUELS!D$4</f>
        <v>0.3</v>
      </c>
      <c r="X48" s="119">
        <f>+$R48*IFERROR(VLOOKUP(VLOOKUP($S48,Egységek!$B:$G,6,),FUELS!$B$4:$F$19,4,0),0)/IFERROR(VLOOKUP($S48,Egységek!$B:$AA,26,0),1)+$T48*FUELS!E$5+$U48*FUELS!E$4</f>
        <v>2.6</v>
      </c>
      <c r="Y48">
        <f>+$R48*IFERROR(VLOOKUP(VLOOKUP($S48,Egységek!$B:$G,6,),FUELS!$B$4:$F$19,5,0),0)/IFERROR(VLOOKUP($S48,Egységek!$B:$T,19,0),1)+$T48*FUELS!F$5+$U48*FUELS!F$4</f>
        <v>455</v>
      </c>
    </row>
    <row r="49" spans="1:25">
      <c r="A49" s="72"/>
      <c r="B49" s="72"/>
      <c r="C49" s="87">
        <f t="shared" si="0"/>
        <v>0</v>
      </c>
      <c r="D49" s="87">
        <f t="shared" si="1"/>
        <v>0</v>
      </c>
      <c r="E49" s="87">
        <f t="shared" si="2"/>
        <v>0</v>
      </c>
      <c r="F49" s="87">
        <f t="shared" si="3"/>
        <v>0</v>
      </c>
      <c r="G49" s="107" t="str">
        <f>IF(A49&lt;&gt;"",CONVERT(GETPIVOTDATA("Összeg / Nettó kiadott hő (Qki) MWh",Egység_összegzés!$A$1,"telephely",$A49,"rendszer",$B49),"MWh",$H49),"")</f>
        <v/>
      </c>
      <c r="H49" s="106"/>
      <c r="I49" s="69"/>
      <c r="J49" s="68"/>
      <c r="K49" s="71"/>
      <c r="L49" s="35"/>
      <c r="M49" s="79" t="str">
        <f t="shared" si="4"/>
        <v/>
      </c>
      <c r="N49" s="81"/>
      <c r="O49" s="52" t="e">
        <f>INDEX(alfa_vill.!$C$2:$C$4,MATCH(CONVERT(I49,J49,"kWh"),alfa_vill.!$A$2:$A$4,1))</f>
        <v>#N/A</v>
      </c>
      <c r="P49" s="83" t="e">
        <f t="shared" si="5"/>
        <v>#N/A</v>
      </c>
      <c r="Q49" s="84"/>
      <c r="R49" s="72"/>
      <c r="S49" s="72"/>
      <c r="T49" s="72"/>
      <c r="U49" s="53">
        <f t="shared" si="6"/>
        <v>1</v>
      </c>
      <c r="V49" s="113">
        <f>$R49*IFERROR(VLOOKUP(VLOOKUP($S49,Egységek!$B:$G,6,0),FUELS!$B$4:$F$19,2,0),0)/IFERROR(VLOOKUP($S49,Egységek!$B:$AA,26,0),1)+$T49*FUELS!C$5+$U49*FUELS!C$4</f>
        <v>2.2999999999999998</v>
      </c>
      <c r="W49" s="118">
        <f>+$R49*IFERROR(VLOOKUP(VLOOKUP($S49,Egységek!$B:$G,6,0),FUELS!$B$4:$F$19,3,0),0)/IFERROR(VLOOKUP(telephelyek!$S49,Egységek!$B:$AA,26,0),1)+$T49*FUELS!D$5+$U49*FUELS!D$4</f>
        <v>0.3</v>
      </c>
      <c r="X49" s="119">
        <f>+$R49*IFERROR(VLOOKUP(VLOOKUP($S49,Egységek!$B:$G,6,),FUELS!$B$4:$F$19,4,0),0)/IFERROR(VLOOKUP($S49,Egységek!$B:$AA,26,0),1)+$T49*FUELS!E$5+$U49*FUELS!E$4</f>
        <v>2.6</v>
      </c>
      <c r="Y49">
        <f>+$R49*IFERROR(VLOOKUP(VLOOKUP($S49,Egységek!$B:$G,6,),FUELS!$B$4:$F$19,5,0),0)/IFERROR(VLOOKUP($S49,Egységek!$B:$T,19,0),1)+$T49*FUELS!F$5+$U49*FUELS!F$4</f>
        <v>455</v>
      </c>
    </row>
    <row r="50" spans="1:25">
      <c r="A50" s="72"/>
      <c r="B50" s="72"/>
      <c r="C50" s="87">
        <f t="shared" si="0"/>
        <v>0</v>
      </c>
      <c r="D50" s="87">
        <f t="shared" si="1"/>
        <v>0</v>
      </c>
      <c r="E50" s="87">
        <f t="shared" si="2"/>
        <v>0</v>
      </c>
      <c r="F50" s="87">
        <f t="shared" si="3"/>
        <v>0</v>
      </c>
      <c r="G50" s="107" t="str">
        <f>IF(A50&lt;&gt;"",CONVERT(GETPIVOTDATA("Összeg / Nettó kiadott hő (Qki) MWh",Egység_összegzés!$A$1,"telephely",$A50,"rendszer",$B50),"MWh",$H50),"")</f>
        <v/>
      </c>
      <c r="H50" s="106"/>
      <c r="I50" s="69"/>
      <c r="J50" s="68"/>
      <c r="K50" s="71"/>
      <c r="L50" s="35"/>
      <c r="M50" s="79" t="str">
        <f t="shared" si="4"/>
        <v/>
      </c>
      <c r="N50" s="81"/>
      <c r="O50" s="52" t="e">
        <f>INDEX(alfa_vill.!$C$2:$C$4,MATCH(CONVERT(I50,J50,"kWh"),alfa_vill.!$A$2:$A$4,1))</f>
        <v>#N/A</v>
      </c>
      <c r="P50" s="83" t="e">
        <f t="shared" si="5"/>
        <v>#N/A</v>
      </c>
      <c r="Q50" s="84"/>
      <c r="R50" s="72"/>
      <c r="S50" s="72"/>
      <c r="T50" s="72"/>
      <c r="U50" s="53">
        <f t="shared" si="6"/>
        <v>1</v>
      </c>
      <c r="V50" s="113">
        <f>$R50*IFERROR(VLOOKUP(VLOOKUP($S50,Egységek!$B:$G,6,0),FUELS!$B$4:$F$19,2,0),0)/IFERROR(VLOOKUP($S50,Egységek!$B:$AA,26,0),1)+$T50*FUELS!C$5+$U50*FUELS!C$4</f>
        <v>2.2999999999999998</v>
      </c>
      <c r="W50" s="118">
        <f>+$R50*IFERROR(VLOOKUP(VLOOKUP($S50,Egységek!$B:$G,6,0),FUELS!$B$4:$F$19,3,0),0)/IFERROR(VLOOKUP(telephelyek!$S50,Egységek!$B:$AA,26,0),1)+$T50*FUELS!D$5+$U50*FUELS!D$4</f>
        <v>0.3</v>
      </c>
      <c r="X50" s="119">
        <f>+$R50*IFERROR(VLOOKUP(VLOOKUP($S50,Egységek!$B:$G,6,),FUELS!$B$4:$F$19,4,0),0)/IFERROR(VLOOKUP($S50,Egységek!$B:$AA,26,0),1)+$T50*FUELS!E$5+$U50*FUELS!E$4</f>
        <v>2.6</v>
      </c>
      <c r="Y50">
        <f>+$R50*IFERROR(VLOOKUP(VLOOKUP($S50,Egységek!$B:$G,6,),FUELS!$B$4:$F$19,5,0),0)/IFERROR(VLOOKUP($S50,Egységek!$B:$T,19,0),1)+$T50*FUELS!F$5+$U50*FUELS!F$4</f>
        <v>455</v>
      </c>
    </row>
    <row r="51" spans="1:25">
      <c r="A51" s="72"/>
      <c r="B51" s="72"/>
      <c r="C51" s="87">
        <f t="shared" si="0"/>
        <v>0</v>
      </c>
      <c r="D51" s="87">
        <f t="shared" si="1"/>
        <v>0</v>
      </c>
      <c r="E51" s="87">
        <f t="shared" si="2"/>
        <v>0</v>
      </c>
      <c r="F51" s="87">
        <f t="shared" si="3"/>
        <v>0</v>
      </c>
      <c r="G51" s="107" t="str">
        <f>IF(A51&lt;&gt;"",CONVERT(GETPIVOTDATA("Összeg / Nettó kiadott hő (Qki) MWh",Egység_összegzés!$A$1,"telephely",$A51,"rendszer",$B51),"MWh",$H51),"")</f>
        <v/>
      </c>
      <c r="H51" s="106"/>
      <c r="I51" s="69"/>
      <c r="J51" s="68"/>
      <c r="K51" s="71"/>
      <c r="L51" s="35"/>
      <c r="M51" s="79" t="str">
        <f t="shared" si="4"/>
        <v/>
      </c>
      <c r="N51" s="81"/>
      <c r="O51" s="52" t="e">
        <f>INDEX(alfa_vill.!$C$2:$C$4,MATCH(CONVERT(I51,J51,"kWh"),alfa_vill.!$A$2:$A$4,1))</f>
        <v>#N/A</v>
      </c>
      <c r="P51" s="83" t="e">
        <f t="shared" si="5"/>
        <v>#N/A</v>
      </c>
      <c r="Q51" s="84"/>
      <c r="R51" s="72"/>
      <c r="S51" s="72"/>
      <c r="T51" s="72"/>
      <c r="U51" s="53">
        <f t="shared" si="6"/>
        <v>1</v>
      </c>
      <c r="V51" s="113">
        <f>$R51*IFERROR(VLOOKUP(VLOOKUP($S51,Egységek!$B:$G,6,0),FUELS!$B$4:$F$19,2,0),0)/IFERROR(VLOOKUP($S51,Egységek!$B:$AA,26,0),1)+$T51*FUELS!C$5+$U51*FUELS!C$4</f>
        <v>2.2999999999999998</v>
      </c>
      <c r="W51" s="118">
        <f>+$R51*IFERROR(VLOOKUP(VLOOKUP($S51,Egységek!$B:$G,6,0),FUELS!$B$4:$F$19,3,0),0)/IFERROR(VLOOKUP(telephelyek!$S51,Egységek!$B:$AA,26,0),1)+$T51*FUELS!D$5+$U51*FUELS!D$4</f>
        <v>0.3</v>
      </c>
      <c r="X51" s="119">
        <f>+$R51*IFERROR(VLOOKUP(VLOOKUP($S51,Egységek!$B:$G,6,),FUELS!$B$4:$F$19,4,0),0)/IFERROR(VLOOKUP($S51,Egységek!$B:$AA,26,0),1)+$T51*FUELS!E$5+$U51*FUELS!E$4</f>
        <v>2.6</v>
      </c>
      <c r="Y51">
        <f>+$R51*IFERROR(VLOOKUP(VLOOKUP($S51,Egységek!$B:$G,6,),FUELS!$B$4:$F$19,5,0),0)/IFERROR(VLOOKUP($S51,Egységek!$B:$T,19,0),1)+$T51*FUELS!F$5+$U51*FUELS!F$4</f>
        <v>455</v>
      </c>
    </row>
    <row r="52" spans="1:25">
      <c r="A52" s="72"/>
      <c r="B52" s="72"/>
      <c r="C52" s="87">
        <f t="shared" si="0"/>
        <v>0</v>
      </c>
      <c r="D52" s="87">
        <f t="shared" si="1"/>
        <v>0</v>
      </c>
      <c r="E52" s="87">
        <f t="shared" si="2"/>
        <v>0</v>
      </c>
      <c r="F52" s="87">
        <f t="shared" si="3"/>
        <v>0</v>
      </c>
      <c r="G52" s="107" t="str">
        <f>IF(A52&lt;&gt;"",CONVERT(GETPIVOTDATA("Összeg / Nettó kiadott hő (Qki) MWh",Egység_összegzés!$A$1,"telephely",$A52,"rendszer",$B52),"MWh",$H52),"")</f>
        <v/>
      </c>
      <c r="H52" s="106"/>
      <c r="I52" s="69"/>
      <c r="J52" s="68"/>
      <c r="K52" s="71"/>
      <c r="L52" s="35"/>
      <c r="M52" s="79" t="str">
        <f t="shared" si="4"/>
        <v/>
      </c>
      <c r="N52" s="81"/>
      <c r="O52" s="52" t="e">
        <f>INDEX(alfa_vill.!$C$2:$C$4,MATCH(CONVERT(I52,J52,"kWh"),alfa_vill.!$A$2:$A$4,1))</f>
        <v>#N/A</v>
      </c>
      <c r="P52" s="83" t="e">
        <f t="shared" si="5"/>
        <v>#N/A</v>
      </c>
      <c r="Q52" s="84"/>
      <c r="R52" s="72"/>
      <c r="S52" s="72"/>
      <c r="T52" s="72"/>
      <c r="U52" s="53">
        <f t="shared" si="6"/>
        <v>1</v>
      </c>
      <c r="V52" s="113">
        <f>$R52*IFERROR(VLOOKUP(VLOOKUP($S52,Egységek!$B:$G,6,0),FUELS!$B$4:$F$19,2,0),0)/IFERROR(VLOOKUP($S52,Egységek!$B:$AA,26,0),1)+$T52*FUELS!C$5+$U52*FUELS!C$4</f>
        <v>2.2999999999999998</v>
      </c>
      <c r="W52" s="118">
        <f>+$R52*IFERROR(VLOOKUP(VLOOKUP($S52,Egységek!$B:$G,6,0),FUELS!$B$4:$F$19,3,0),0)/IFERROR(VLOOKUP(telephelyek!$S52,Egységek!$B:$AA,26,0),1)+$T52*FUELS!D$5+$U52*FUELS!D$4</f>
        <v>0.3</v>
      </c>
      <c r="X52" s="119">
        <f>+$R52*IFERROR(VLOOKUP(VLOOKUP($S52,Egységek!$B:$G,6,),FUELS!$B$4:$F$19,4,0),0)/IFERROR(VLOOKUP($S52,Egységek!$B:$AA,26,0),1)+$T52*FUELS!E$5+$U52*FUELS!E$4</f>
        <v>2.6</v>
      </c>
      <c r="Y52">
        <f>+$R52*IFERROR(VLOOKUP(VLOOKUP($S52,Egységek!$B:$G,6,),FUELS!$B$4:$F$19,5,0),0)/IFERROR(VLOOKUP($S52,Egységek!$B:$T,19,0),1)+$T52*FUELS!F$5+$U52*FUELS!F$4</f>
        <v>455</v>
      </c>
    </row>
    <row r="53" spans="1:25">
      <c r="A53" s="72"/>
      <c r="B53" s="72"/>
      <c r="C53" s="87">
        <f t="shared" si="0"/>
        <v>0</v>
      </c>
      <c r="D53" s="87">
        <f t="shared" si="1"/>
        <v>0</v>
      </c>
      <c r="E53" s="87">
        <f t="shared" si="2"/>
        <v>0</v>
      </c>
      <c r="F53" s="87">
        <f t="shared" si="3"/>
        <v>0</v>
      </c>
      <c r="G53" s="107" t="str">
        <f>IF(A53&lt;&gt;"",CONVERT(GETPIVOTDATA("Összeg / Nettó kiadott hő (Qki) MWh",Egység_összegzés!$A$1,"telephely",$A53,"rendszer",$B53),"MWh",$H53),"")</f>
        <v/>
      </c>
      <c r="H53" s="106"/>
      <c r="I53" s="69"/>
      <c r="J53" s="68"/>
      <c r="K53" s="71"/>
      <c r="L53" s="35"/>
      <c r="M53" s="79" t="str">
        <f t="shared" si="4"/>
        <v/>
      </c>
      <c r="N53" s="81"/>
      <c r="O53" s="52" t="e">
        <f>INDEX(alfa_vill.!$C$2:$C$4,MATCH(CONVERT(I53,J53,"kWh"),alfa_vill.!$A$2:$A$4,1))</f>
        <v>#N/A</v>
      </c>
      <c r="P53" s="83" t="e">
        <f t="shared" si="5"/>
        <v>#N/A</v>
      </c>
      <c r="Q53" s="84"/>
      <c r="R53" s="72"/>
      <c r="S53" s="72"/>
      <c r="T53" s="72"/>
      <c r="U53" s="53">
        <f t="shared" si="6"/>
        <v>1</v>
      </c>
      <c r="V53" s="113">
        <f>$R53*IFERROR(VLOOKUP(VLOOKUP($S53,Egységek!$B:$G,6,0),FUELS!$B$4:$F$19,2,0),0)/IFERROR(VLOOKUP($S53,Egységek!$B:$AA,26,0),1)+$T53*FUELS!C$5+$U53*FUELS!C$4</f>
        <v>2.2999999999999998</v>
      </c>
      <c r="W53" s="118">
        <f>+$R53*IFERROR(VLOOKUP(VLOOKUP($S53,Egységek!$B:$G,6,0),FUELS!$B$4:$F$19,3,0),0)/IFERROR(VLOOKUP(telephelyek!$S53,Egységek!$B:$AA,26,0),1)+$T53*FUELS!D$5+$U53*FUELS!D$4</f>
        <v>0.3</v>
      </c>
      <c r="X53" s="119">
        <f>+$R53*IFERROR(VLOOKUP(VLOOKUP($S53,Egységek!$B:$G,6,),FUELS!$B$4:$F$19,4,0),0)/IFERROR(VLOOKUP($S53,Egységek!$B:$AA,26,0),1)+$T53*FUELS!E$5+$U53*FUELS!E$4</f>
        <v>2.6</v>
      </c>
      <c r="Y53">
        <f>+$R53*IFERROR(VLOOKUP(VLOOKUP($S53,Egységek!$B:$G,6,),FUELS!$B$4:$F$19,5,0),0)/IFERROR(VLOOKUP($S53,Egységek!$B:$T,19,0),1)+$T53*FUELS!F$5+$U53*FUELS!F$4</f>
        <v>455</v>
      </c>
    </row>
  </sheetData>
  <autoFilter ref="A1:Y53" xr:uid="{00000000-0009-0000-0000-000001000000}"/>
  <dataValidations count="1">
    <dataValidation type="list" allowBlank="1" showInputMessage="1" showErrorMessage="1" sqref="H2:H1048576 L2:L1048576 J2:J1048576" xr:uid="{00000000-0002-0000-0100-000000000000}">
      <formula1>"GJ, MWh"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Z33"/>
  <sheetViews>
    <sheetView topLeftCell="A2" zoomScale="85" zoomScaleNormal="85" workbookViewId="0">
      <pane xSplit="2" ySplit="1" topLeftCell="K13" activePane="bottomRight" state="frozen"/>
      <selection activeCell="A2" sqref="A2"/>
      <selection pane="topRight" activeCell="C2" sqref="C2"/>
      <selection pane="bottomLeft" activeCell="A3" sqref="A3"/>
      <selection pane="bottomRight" activeCell="Q2" sqref="Q1:Q1048576"/>
    </sheetView>
  </sheetViews>
  <sheetFormatPr baseColWidth="10" defaultColWidth="8.83203125" defaultRowHeight="15"/>
  <cols>
    <col min="1" max="1" width="4.1640625" bestFit="1" customWidth="1"/>
    <col min="2" max="2" width="14.6640625" customWidth="1"/>
    <col min="3" max="3" width="17.83203125" bestFit="1" customWidth="1"/>
    <col min="4" max="4" width="28.33203125" bestFit="1" customWidth="1"/>
    <col min="5" max="5" width="87" bestFit="1" customWidth="1"/>
    <col min="6" max="6" width="8.5" bestFit="1" customWidth="1"/>
    <col min="7" max="7" width="28.5" customWidth="1"/>
    <col min="8" max="8" width="23.33203125" style="48" bestFit="1" customWidth="1"/>
    <col min="9" max="9" width="12.5" customWidth="1"/>
    <col min="10" max="10" width="19" style="1" customWidth="1"/>
    <col min="11" max="11" width="12.5" customWidth="1"/>
    <col min="12" max="12" width="14.5" customWidth="1"/>
    <col min="13" max="14" width="12.5" customWidth="1"/>
    <col min="15" max="15" width="14.6640625" customWidth="1"/>
    <col min="16" max="16" width="12.5" customWidth="1"/>
    <col min="17" max="17" width="21.5" bestFit="1" customWidth="1"/>
    <col min="18" max="18" width="5.83203125" bestFit="1" customWidth="1"/>
    <col min="19" max="19" width="18.83203125" customWidth="1"/>
    <col min="20" max="20" width="7.33203125" bestFit="1" customWidth="1"/>
    <col min="21" max="22" width="12.5" customWidth="1"/>
    <col min="23" max="23" width="12.33203125" bestFit="1" customWidth="1"/>
    <col min="24" max="24" width="12.5" customWidth="1"/>
    <col min="25" max="25" width="13.5" customWidth="1"/>
    <col min="26" max="26" width="12.5" customWidth="1"/>
    <col min="27" max="27" width="10.33203125" bestFit="1" customWidth="1"/>
    <col min="28" max="28" width="16" style="1" customWidth="1"/>
    <col min="29" max="29" width="17.33203125" style="1" customWidth="1"/>
    <col min="30" max="30" width="13.5" style="1" customWidth="1"/>
    <col min="31" max="31" width="14.5" bestFit="1" customWidth="1"/>
    <col min="32" max="32" width="8.83203125" bestFit="1" customWidth="1"/>
    <col min="33" max="34" width="13.83203125" customWidth="1"/>
    <col min="35" max="35" width="9.83203125" bestFit="1" customWidth="1"/>
    <col min="36" max="36" width="11.6640625" customWidth="1"/>
    <col min="37" max="37" width="11.5" customWidth="1"/>
    <col min="38" max="38" width="8.6640625" customWidth="1"/>
    <col min="39" max="39" width="13.33203125" style="46" bestFit="1" customWidth="1"/>
    <col min="40" max="40" width="12.33203125" bestFit="1" customWidth="1"/>
    <col min="41" max="41" width="36.1640625" bestFit="1" customWidth="1"/>
    <col min="42" max="42" width="9.6640625" customWidth="1"/>
    <col min="43" max="43" width="7.5" bestFit="1" customWidth="1"/>
    <col min="44" max="44" width="9.1640625"/>
    <col min="45" max="45" width="6.1640625" bestFit="1" customWidth="1"/>
    <col min="48" max="48" width="9.5" bestFit="1" customWidth="1"/>
  </cols>
  <sheetData>
    <row r="1" spans="1:52" ht="112.5" customHeight="1">
      <c r="H1"/>
    </row>
    <row r="2" spans="1:52" s="7" customFormat="1" ht="80">
      <c r="A2" s="7" t="s">
        <v>0</v>
      </c>
      <c r="B2" s="73" t="s">
        <v>1</v>
      </c>
      <c r="C2" s="73" t="s">
        <v>2</v>
      </c>
      <c r="D2" s="60" t="s">
        <v>3</v>
      </c>
      <c r="E2" s="73" t="s">
        <v>4</v>
      </c>
      <c r="F2" s="121" t="s">
        <v>58</v>
      </c>
      <c r="G2" s="73" t="s">
        <v>5</v>
      </c>
      <c r="H2" s="74" t="s">
        <v>61</v>
      </c>
      <c r="I2" s="74" t="s">
        <v>167</v>
      </c>
      <c r="J2" s="122" t="s">
        <v>6</v>
      </c>
      <c r="K2" s="59" t="s">
        <v>72</v>
      </c>
      <c r="L2" s="62" t="s">
        <v>99</v>
      </c>
      <c r="M2" s="62" t="s">
        <v>100</v>
      </c>
      <c r="N2" s="62" t="s">
        <v>101</v>
      </c>
      <c r="O2" s="62" t="s">
        <v>102</v>
      </c>
      <c r="P2" s="59" t="s">
        <v>85</v>
      </c>
      <c r="Q2" s="74" t="s">
        <v>86</v>
      </c>
      <c r="R2" s="59" t="s">
        <v>92</v>
      </c>
      <c r="S2" s="74" t="s">
        <v>87</v>
      </c>
      <c r="T2" s="59" t="s">
        <v>94</v>
      </c>
      <c r="U2" s="58" t="s">
        <v>88</v>
      </c>
      <c r="V2" s="58" t="s">
        <v>89</v>
      </c>
      <c r="W2" s="59" t="s">
        <v>91</v>
      </c>
      <c r="X2" s="74" t="s">
        <v>93</v>
      </c>
      <c r="Y2" s="61" t="s">
        <v>105</v>
      </c>
      <c r="Z2" s="59" t="s">
        <v>55</v>
      </c>
      <c r="AA2" s="88" t="s">
        <v>77</v>
      </c>
      <c r="AB2" s="75" t="s">
        <v>50</v>
      </c>
      <c r="AC2" s="75" t="s">
        <v>51</v>
      </c>
      <c r="AD2" s="58" t="s">
        <v>49</v>
      </c>
      <c r="AE2" s="59" t="s">
        <v>48</v>
      </c>
      <c r="AF2" s="59" t="s">
        <v>106</v>
      </c>
      <c r="AG2" s="59" t="s">
        <v>73</v>
      </c>
      <c r="AH2" s="59" t="s">
        <v>74</v>
      </c>
      <c r="AI2" s="59" t="s">
        <v>75</v>
      </c>
      <c r="AJ2" s="59" t="s">
        <v>76</v>
      </c>
      <c r="AK2" s="74" t="s">
        <v>79</v>
      </c>
      <c r="AL2" s="74" t="s">
        <v>78</v>
      </c>
      <c r="AM2" s="61" t="s">
        <v>80</v>
      </c>
      <c r="AN2" s="63" t="s">
        <v>22</v>
      </c>
      <c r="AO2" s="73" t="s">
        <v>60</v>
      </c>
      <c r="AP2" s="73" t="s">
        <v>29</v>
      </c>
      <c r="AQ2" s="66" t="s">
        <v>103</v>
      </c>
      <c r="AR2" s="66" t="s">
        <v>104</v>
      </c>
      <c r="AS2" s="59" t="s">
        <v>98</v>
      </c>
      <c r="AT2" s="59" t="s">
        <v>95</v>
      </c>
      <c r="AU2" s="59" t="s">
        <v>96</v>
      </c>
      <c r="AV2" s="59" t="s">
        <v>97</v>
      </c>
      <c r="AW2" s="59" t="s">
        <v>81</v>
      </c>
      <c r="AX2" s="59" t="s">
        <v>82</v>
      </c>
      <c r="AY2" s="59" t="s">
        <v>83</v>
      </c>
      <c r="AZ2" s="59" t="s">
        <v>84</v>
      </c>
    </row>
    <row r="3" spans="1:52" ht="16">
      <c r="A3">
        <v>1</v>
      </c>
      <c r="B3" s="72" t="s">
        <v>160</v>
      </c>
      <c r="C3" s="72" t="s">
        <v>156</v>
      </c>
      <c r="D3" s="4" t="str">
        <f>IF(C3&lt;&gt;"",VLOOKUP(C3,telephelyek!A:B,2,0),"-")</f>
        <v>MINTA 1</v>
      </c>
      <c r="E3" s="72"/>
      <c r="F3" s="72"/>
      <c r="G3" s="72"/>
      <c r="H3" s="69"/>
      <c r="I3" s="72" t="s">
        <v>52</v>
      </c>
      <c r="J3" s="54"/>
      <c r="K3" s="50">
        <f>IFERROR(IF(J3,CONVERT(H3,I3,"MWh")/VLOOKUP(C3,telephelyek!$A:$N,14,0),CONVERT(H3,I3,"MWh")),0)</f>
        <v>0</v>
      </c>
      <c r="L3" s="57" t="e">
        <f t="shared" ref="L3:O5" si="0">$K3*($Y3*AS3+$AM3*AS3+$AQ3*AS3+$AR3*AW3)</f>
        <v>#DIV/0!</v>
      </c>
      <c r="M3" s="57" t="e">
        <f t="shared" si="0"/>
        <v>#DIV/0!</v>
      </c>
      <c r="N3" s="57" t="e">
        <f t="shared" si="0"/>
        <v>#DIV/0!</v>
      </c>
      <c r="O3" s="57" t="e">
        <f t="shared" si="0"/>
        <v>#DIV/0!</v>
      </c>
      <c r="P3" s="50" t="b">
        <f>IF(B3&lt;&gt;"",NOT(OR(Z3,AN3)),FALSE)</f>
        <v>1</v>
      </c>
      <c r="Q3" s="72"/>
      <c r="R3" s="64">
        <f>IFERROR(VALUE(LEFT(Q3,1)),0)</f>
        <v>0</v>
      </c>
      <c r="S3" s="69"/>
      <c r="T3" s="82">
        <f t="shared" ref="T3:T13" si="1">IFERROR(VLOOKUP(S3,$B:$AJ,26,0),1)</f>
        <v>1</v>
      </c>
      <c r="U3" s="38"/>
      <c r="V3" s="38" t="s">
        <v>53</v>
      </c>
      <c r="W3" s="44">
        <f>IFERROR(CONVERT(H3,I3,"GJ")/CONVERT(U3,V3,"GJ"),1)</f>
        <v>1</v>
      </c>
      <c r="X3" s="123"/>
      <c r="Y3" s="67" t="e">
        <f>IF(P3,1/X3*1/T3,0)*IF(J3,VLOOKUP(C3,telephelyek!$A:$N,14,0),1)</f>
        <v>#DIV/0!</v>
      </c>
      <c r="Z3" s="4" t="b">
        <f>IFERROR(VLOOKUP($E3,technológiák!$B$3:$D$11,2,0),FALSE)</f>
        <v>0</v>
      </c>
      <c r="AA3" s="4" t="str">
        <f>IFERROR(VLOOKUP(G3,FUELS!$B$4:$I$19,5+MATCH(F3,FUELS!$G$2:$I$2,1),0),"")</f>
        <v/>
      </c>
      <c r="AB3" s="39"/>
      <c r="AC3" s="5" t="s">
        <v>53</v>
      </c>
      <c r="AD3" s="39"/>
      <c r="AE3" s="40">
        <f>IF(Z3,H3,0)</f>
        <v>0</v>
      </c>
      <c r="AF3" s="41" t="str">
        <f>IF(Z3,I3,"")</f>
        <v/>
      </c>
      <c r="AG3" s="42">
        <f>IFERROR((CONVERT(AE3,AF3,"MWh")+AD3)/CONVERT(AB3,AC3,"MWh"),0)</f>
        <v>0</v>
      </c>
      <c r="AH3" s="43">
        <f>IFERROR(AD3/CONVERT(AE3,AF3,"MWh"),0)</f>
        <v>0</v>
      </c>
      <c r="AI3" s="45">
        <f>IFERROR(VLOOKUP($E3,technológiák!$B$3:$G$11,6,0),0)</f>
        <v>0</v>
      </c>
      <c r="AJ3" s="4">
        <f>IFERROR(VLOOKUP($E3,technológiák!$B$3:$G$11,5,0),0)</f>
        <v>0</v>
      </c>
      <c r="AK3" s="77">
        <v>0.88400000000000001</v>
      </c>
      <c r="AL3" s="72">
        <v>0.75</v>
      </c>
      <c r="AM3" s="47">
        <f>IF(Z3,((AL3+1)/AK3)-(AL3/AA3),0)*IF(J3,VLOOKUP(C3,telephelyek!$A:$N,14,0),1)</f>
        <v>0</v>
      </c>
      <c r="AN3" s="4" t="b">
        <f>IFERROR(VLOOKUP($E3,technológiák!$B$3:$D$11,3,0),FALSE)</f>
        <v>0</v>
      </c>
      <c r="AO3" s="72"/>
      <c r="AP3" s="72"/>
      <c r="AQ3" s="47">
        <f>+IF($AN3,1/$AP3*IF($J3,VLOOKUP($C3,telephelyek!$A:$N,14,0),1),0)</f>
        <v>0</v>
      </c>
      <c r="AR3" s="47">
        <f>+IF($AN3,(1-1/$AP3)*IF($J3,VLOOKUP($C3,telephelyek!$A:$N,14,0),1),0)</f>
        <v>0</v>
      </c>
      <c r="AS3" s="4">
        <f>IFERROR(VLOOKUP($G3,FUELS!$B$4:$F$19,2,0),0)</f>
        <v>0</v>
      </c>
      <c r="AT3" s="4">
        <f>IFERROR(VLOOKUP($G3,FUELS!$B$4:$F$19,3,0),0)</f>
        <v>0</v>
      </c>
      <c r="AU3" s="4">
        <f>IFERROR(VLOOKUP($G3,FUELS!$B$4:$F$19,4,0),0)</f>
        <v>0</v>
      </c>
      <c r="AV3" s="4">
        <f>IFERROR(VLOOKUP($G3,FUELS!$B$4:$F$19,5,0),0)</f>
        <v>0</v>
      </c>
      <c r="AW3" s="4">
        <f>IFERROR(VLOOKUP($AO3,FUELS!$B$4:$F$19,2,0),0)</f>
        <v>0</v>
      </c>
      <c r="AX3" s="4">
        <f>IFERROR(VLOOKUP($AO3,FUELS!$B$4:$F$19,3,0),0)</f>
        <v>0</v>
      </c>
      <c r="AY3" s="4">
        <f>IFERROR(VLOOKUP($AO3,FUELS!$B$4:$F$19,4,0),0)</f>
        <v>0</v>
      </c>
      <c r="AZ3" s="4">
        <f>IFERROR(VLOOKUP($AO3,FUELS!$B$4:$F$19,5,0),0)</f>
        <v>0</v>
      </c>
    </row>
    <row r="4" spans="1:52">
      <c r="A4">
        <v>2</v>
      </c>
      <c r="B4" s="72" t="s">
        <v>161</v>
      </c>
      <c r="C4" s="72" t="s">
        <v>156</v>
      </c>
      <c r="D4" s="4" t="str">
        <f>IF(C4&lt;&gt;"",VLOOKUP(C4,telephelyek!A:B,2,0),"-")</f>
        <v>MINTA 1</v>
      </c>
      <c r="E4" s="72"/>
      <c r="F4" s="72"/>
      <c r="G4" s="72"/>
      <c r="H4" s="69"/>
      <c r="I4" s="72" t="s">
        <v>52</v>
      </c>
      <c r="J4" s="54"/>
      <c r="K4" s="50">
        <f>IFERROR(IF(J4,CONVERT(H4,I4,"MWh")/VLOOKUP(C4,telephelyek!$A:$N,14,0),CONVERT(H4,I4,"MWh")),0)</f>
        <v>0</v>
      </c>
      <c r="L4" s="57" t="e">
        <f t="shared" si="0"/>
        <v>#DIV/0!</v>
      </c>
      <c r="M4" s="57" t="e">
        <f t="shared" si="0"/>
        <v>#DIV/0!</v>
      </c>
      <c r="N4" s="57" t="e">
        <f t="shared" si="0"/>
        <v>#DIV/0!</v>
      </c>
      <c r="O4" s="57" t="e">
        <f t="shared" si="0"/>
        <v>#DIV/0!</v>
      </c>
      <c r="P4" s="50" t="b">
        <f t="shared" ref="P4:P32" si="2">IF(B4&lt;&gt;"",NOT(OR(Z4,AN4)),FALSE)</f>
        <v>1</v>
      </c>
      <c r="Q4" s="72"/>
      <c r="R4" s="64">
        <f t="shared" ref="R4:R32" si="3">IFERROR(VALUE(LEFT(Q4,1)),0)</f>
        <v>0</v>
      </c>
      <c r="S4" s="72"/>
      <c r="T4" s="82">
        <f t="shared" si="1"/>
        <v>1</v>
      </c>
      <c r="U4" s="38"/>
      <c r="V4" s="38" t="s">
        <v>53</v>
      </c>
      <c r="W4" s="44">
        <f>IFERROR(CONVERT(H4,I4,"GJ")/CONVERT(U4,V4,"GJ"),1)</f>
        <v>1</v>
      </c>
      <c r="X4" s="123"/>
      <c r="Y4" s="67" t="e">
        <f>IF(P4,1/X4*1/T4,0)*IF(J4,VLOOKUP(C4,telephelyek!$A:$N,14,0),1)</f>
        <v>#DIV/0!</v>
      </c>
      <c r="Z4" s="4" t="b">
        <f>IFERROR(VLOOKUP($E4,technológiák!$B$3:$D$11,2,0),FALSE)</f>
        <v>0</v>
      </c>
      <c r="AA4" s="4" t="str">
        <f>IFERROR(VLOOKUP(G4,FUELS!$B$4:$I$19,5+MATCH(F4,FUELS!$G$2:$I$2,1),0),"")</f>
        <v/>
      </c>
      <c r="AB4" s="65"/>
      <c r="AC4" s="65"/>
      <c r="AD4" s="39"/>
      <c r="AE4" s="40">
        <f>IF(Z4,H4,0)</f>
        <v>0</v>
      </c>
      <c r="AF4" s="41" t="str">
        <f>IF(Z4,I4,"")</f>
        <v/>
      </c>
      <c r="AG4" s="42">
        <f>IFERROR((CONVERT(AE4,AF4,"MWh")+AD4)/CONVERT(AB4,AC4,"MWh"),0)</f>
        <v>0</v>
      </c>
      <c r="AH4" s="43">
        <f t="shared" ref="AH4:AH5" si="4">IFERROR(AD4/CONVERT(AE4,AF4,"MWh"),0)</f>
        <v>0</v>
      </c>
      <c r="AI4" s="45">
        <f>IFERROR(VLOOKUP($E4,technológiák!$B$3:$G$11,6,0),0)</f>
        <v>0</v>
      </c>
      <c r="AJ4" s="4">
        <f>IFERROR(VLOOKUP($E4,technológiák!$B$3:$G$11,5,0),0)</f>
        <v>0</v>
      </c>
      <c r="AK4" s="77"/>
      <c r="AL4" s="72"/>
      <c r="AM4" s="47">
        <f>IF(Z4,((AL4+1)/AK4)-(AL4/AA4),0)*IF(J4,VLOOKUP(C4,telephelyek!$A:$N,14,0),1)</f>
        <v>0</v>
      </c>
      <c r="AN4" s="4" t="b">
        <f>IFERROR(VLOOKUP($E4,technológiák!$B$3:$D$11,3,0),FALSE)</f>
        <v>0</v>
      </c>
      <c r="AO4" s="72"/>
      <c r="AP4" s="72"/>
      <c r="AQ4" s="47">
        <f>+IF($AN4,1/$AP4*IF($J4,VLOOKUP($C4,telephelyek!$A:$N,14,0),1),0)</f>
        <v>0</v>
      </c>
      <c r="AR4" s="47">
        <f>+IF($AN4,(1-1/$AP4)*IF($J4,VLOOKUP($C4,telephelyek!$A:$N,14,0),1),0)</f>
        <v>0</v>
      </c>
      <c r="AS4" s="4">
        <f>IFERROR(VLOOKUP($G4,FUELS!$B$4:$F$19,2,0),0)</f>
        <v>0</v>
      </c>
      <c r="AT4" s="4">
        <f>IFERROR(VLOOKUP($G4,FUELS!$B$4:$F$19,3,0),0)</f>
        <v>0</v>
      </c>
      <c r="AU4" s="4">
        <f>IFERROR(VLOOKUP($G4,FUELS!$B$4:$F$19,4,0),0)</f>
        <v>0</v>
      </c>
      <c r="AV4" s="4">
        <f>IFERROR(VLOOKUP($G4,FUELS!$B$4:$F$19,5,0),0)</f>
        <v>0</v>
      </c>
      <c r="AW4" s="4">
        <f>IFERROR(VLOOKUP($AO4,FUELS!$B$4:$F$19,2,0),0)</f>
        <v>0</v>
      </c>
      <c r="AX4" s="4">
        <f>IFERROR(VLOOKUP($AO4,FUELS!$B$4:$F$19,3,0),0)</f>
        <v>0</v>
      </c>
      <c r="AY4" s="4">
        <f>IFERROR(VLOOKUP($AO4,FUELS!$B$4:$F$19,4,0),0)</f>
        <v>0</v>
      </c>
      <c r="AZ4" s="4">
        <f>IFERROR(VLOOKUP($AO4,FUELS!$B$4:$F$19,5,0),0)</f>
        <v>0</v>
      </c>
    </row>
    <row r="5" spans="1:52" ht="16">
      <c r="A5">
        <v>3</v>
      </c>
      <c r="B5" s="72" t="s">
        <v>162</v>
      </c>
      <c r="C5" s="72" t="s">
        <v>157</v>
      </c>
      <c r="D5" s="4" t="str">
        <f>IF(C5&lt;&gt;"",VLOOKUP(C5,telephelyek!A:B,2,0),"-")</f>
        <v>MINTA 1</v>
      </c>
      <c r="E5" s="72"/>
      <c r="F5" s="72"/>
      <c r="G5" s="72"/>
      <c r="H5" s="69"/>
      <c r="I5" s="72" t="s">
        <v>52</v>
      </c>
      <c r="J5" s="54"/>
      <c r="K5" s="50">
        <f>IFERROR(IF(J5,CONVERT(H5,I5,"MWh")/VLOOKUP(C5,telephelyek!$A:$N,14,0),CONVERT(H5,I5,"MWh")),0)</f>
        <v>0</v>
      </c>
      <c r="L5" s="57" t="e">
        <f t="shared" si="0"/>
        <v>#DIV/0!</v>
      </c>
      <c r="M5" s="57" t="e">
        <f t="shared" si="0"/>
        <v>#DIV/0!</v>
      </c>
      <c r="N5" s="57" t="e">
        <f t="shared" si="0"/>
        <v>#DIV/0!</v>
      </c>
      <c r="O5" s="57" t="e">
        <f t="shared" si="0"/>
        <v>#DIV/0!</v>
      </c>
      <c r="P5" s="50" t="b">
        <f t="shared" si="2"/>
        <v>1</v>
      </c>
      <c r="Q5" s="72"/>
      <c r="R5" s="64">
        <f t="shared" si="3"/>
        <v>0</v>
      </c>
      <c r="S5" s="72"/>
      <c r="T5" s="82">
        <f t="shared" si="1"/>
        <v>1</v>
      </c>
      <c r="U5" s="38"/>
      <c r="V5" s="38" t="s">
        <v>53</v>
      </c>
      <c r="W5" s="44">
        <f>IFERROR(CONVERT(H5,I5,"GJ")/CONVERT(U5,V5,"GJ"),1)</f>
        <v>1</v>
      </c>
      <c r="X5" s="123"/>
      <c r="Y5" s="67" t="e">
        <f>IF(P5,1/X5*1/T5,0)*IF(J5,VLOOKUP(C5,telephelyek!$A:$N,14,0),1)</f>
        <v>#DIV/0!</v>
      </c>
      <c r="Z5" s="4" t="b">
        <f>IFERROR(VLOOKUP($E5,technológiák!$B$3:$D$11,2,0),FALSE)</f>
        <v>0</v>
      </c>
      <c r="AA5" s="4" t="str">
        <f>IFERROR(VLOOKUP(G5,FUELS!$B$4:$I$19,5+MATCH(F5,FUELS!$G$2:$I$2,1),0),"")</f>
        <v/>
      </c>
      <c r="AB5" s="76"/>
      <c r="AC5" s="5" t="s">
        <v>53</v>
      </c>
      <c r="AD5" s="39"/>
      <c r="AE5" s="40">
        <f>IF(Z5,H5,0)</f>
        <v>0</v>
      </c>
      <c r="AF5" s="41" t="str">
        <f>IF(Z5,I5,"")</f>
        <v/>
      </c>
      <c r="AG5" s="42">
        <f>IFERROR((CONVERT(AE5,AF5,"MWh")+AD5)/CONVERT(AB5,AC5,"MWh"),0)</f>
        <v>0</v>
      </c>
      <c r="AH5" s="43">
        <f t="shared" si="4"/>
        <v>0</v>
      </c>
      <c r="AI5" s="45">
        <f>IFERROR(VLOOKUP($E5,technológiák!$B$3:$G$11,6,0),0)</f>
        <v>0</v>
      </c>
      <c r="AJ5" s="4">
        <f>IFERROR(VLOOKUP($E5,technológiák!$B$3:$G$11,5,0),0)</f>
        <v>0</v>
      </c>
      <c r="AK5" s="77">
        <v>0.83</v>
      </c>
      <c r="AL5" s="72">
        <v>0.95</v>
      </c>
      <c r="AM5" s="47">
        <f>IF(Z5,((AL5+1)/AK5)-(AL5/AA5),0)*IF(J5,VLOOKUP(C5,telephelyek!$A:$N,14,0),1)</f>
        <v>0</v>
      </c>
      <c r="AN5" s="4" t="b">
        <f>IFERROR(VLOOKUP($E5,technológiák!$B$3:$D$11,3,0),FALSE)</f>
        <v>0</v>
      </c>
      <c r="AO5" s="72"/>
      <c r="AP5" s="72"/>
      <c r="AQ5" s="47">
        <f>+IF($AN5,1/$AP5*IF($J5,VLOOKUP($C5,telephelyek!$A:$N,14,0),1),0)</f>
        <v>0</v>
      </c>
      <c r="AR5" s="47">
        <f>+IF($AN5,(1-1/$AP5)*IF($J5,VLOOKUP($C5,telephelyek!$A:$N,14,0),1),0)</f>
        <v>0</v>
      </c>
      <c r="AS5" s="4">
        <f>IFERROR(VLOOKUP($G5,FUELS!$B$4:$F$19,2,0),0)</f>
        <v>0</v>
      </c>
      <c r="AT5" s="4">
        <f>IFERROR(VLOOKUP($G5,FUELS!$B$4:$F$19,3,0),0)</f>
        <v>0</v>
      </c>
      <c r="AU5" s="4">
        <f>IFERROR(VLOOKUP($G5,FUELS!$B$4:$F$19,4,0),0)</f>
        <v>0</v>
      </c>
      <c r="AV5" s="4">
        <f>IFERROR(VLOOKUP($G5,FUELS!$B$4:$F$19,5,0),0)</f>
        <v>0</v>
      </c>
      <c r="AW5" s="4">
        <f>IFERROR(VLOOKUP($AO5,FUELS!$B$4:$F$19,2,0),0)</f>
        <v>0</v>
      </c>
      <c r="AX5" s="4">
        <f>IFERROR(VLOOKUP($AO5,FUELS!$B$4:$F$19,3,0),0)</f>
        <v>0</v>
      </c>
      <c r="AY5" s="4">
        <f>IFERROR(VLOOKUP($AO5,FUELS!$B$4:$F$19,4,0),0)</f>
        <v>0</v>
      </c>
      <c r="AZ5" s="4">
        <f>IFERROR(VLOOKUP($AO5,FUELS!$B$4:$F$19,5,0),0)</f>
        <v>0</v>
      </c>
    </row>
    <row r="6" spans="1:52">
      <c r="A6">
        <v>4</v>
      </c>
      <c r="B6" s="72" t="s">
        <v>163</v>
      </c>
      <c r="C6" s="72" t="s">
        <v>157</v>
      </c>
      <c r="D6" s="4" t="str">
        <f>IF(C6&lt;&gt;"",VLOOKUP(C6,telephelyek!A:B,2,0),"-")</f>
        <v>MINTA 1</v>
      </c>
      <c r="E6" s="72"/>
      <c r="F6" s="72"/>
      <c r="G6" s="72"/>
      <c r="H6" s="69"/>
      <c r="I6" s="72" t="s">
        <v>52</v>
      </c>
      <c r="J6" s="54"/>
      <c r="K6" s="50">
        <f>IFERROR(IF(J6,CONVERT(H6,I6,"MWh")/VLOOKUP(C6,telephelyek!$A:$N,14,0),CONVERT(H6,I6,"MWh")),0)</f>
        <v>0</v>
      </c>
      <c r="L6" s="57" t="e">
        <f t="shared" ref="L6:L32" si="5">$K6*($Y6*AS6+$AM6*AS6+$AQ6*AS6+$AR6*AW6)</f>
        <v>#DIV/0!</v>
      </c>
      <c r="M6" s="57" t="e">
        <f t="shared" ref="M6:M32" si="6">$K6*($Y6*AT6+$AM6*AT6+$AQ6*AT6+$AR6*AX6)</f>
        <v>#DIV/0!</v>
      </c>
      <c r="N6" s="57" t="e">
        <f t="shared" ref="N6:N32" si="7">$K6*($Y6*AU6+$AM6*AU6+$AQ6*AU6+$AR6*AY6)</f>
        <v>#DIV/0!</v>
      </c>
      <c r="O6" s="57" t="e">
        <f t="shared" ref="O6:O32" si="8">$K6*($Y6*AV6+$AM6*AV6+$AQ6*AV6+$AR6*AZ6)</f>
        <v>#DIV/0!</v>
      </c>
      <c r="P6" s="50" t="b">
        <f t="shared" si="2"/>
        <v>1</v>
      </c>
      <c r="Q6" s="72"/>
      <c r="R6" s="64">
        <f t="shared" si="3"/>
        <v>0</v>
      </c>
      <c r="S6" s="72"/>
      <c r="T6" s="82">
        <f t="shared" si="1"/>
        <v>1</v>
      </c>
      <c r="U6" s="38"/>
      <c r="V6" s="38" t="s">
        <v>53</v>
      </c>
      <c r="W6" s="44">
        <f t="shared" ref="W6:W32" si="9">IFERROR(CONVERT(H6,I6,"GJ")/CONVERT(U6,V6,"GJ"),1)</f>
        <v>1</v>
      </c>
      <c r="X6" s="123"/>
      <c r="Y6" s="67" t="e">
        <f>IF(P6,1/X6*1/T6,0)*IF(J6,VLOOKUP(C6,telephelyek!$A:$N,14,0),1)</f>
        <v>#DIV/0!</v>
      </c>
      <c r="Z6" s="4" t="b">
        <f>IFERROR(VLOOKUP($E6,technológiák!$B$3:$D$11,2,0),FALSE)</f>
        <v>0</v>
      </c>
      <c r="AA6" s="4" t="str">
        <f>IFERROR(VLOOKUP(G6,FUELS!$B$4:$I$19,5+MATCH(F6,FUELS!$G$2:$I$2,1),0),"")</f>
        <v/>
      </c>
      <c r="AB6" s="5"/>
      <c r="AC6" s="5"/>
      <c r="AD6" s="39"/>
      <c r="AE6" s="40">
        <f t="shared" ref="AE6:AE32" si="10">IF(Z6,H6,0)</f>
        <v>0</v>
      </c>
      <c r="AF6" s="41" t="str">
        <f t="shared" ref="AF6:AF32" si="11">IF(Z6,I6,"")</f>
        <v/>
      </c>
      <c r="AG6" s="42">
        <f t="shared" ref="AG6:AG32" si="12">IFERROR((CONVERT(AE6,AF6,"MWh")+AD6)/CONVERT(AB6,AC6,"MWh"),0)</f>
        <v>0</v>
      </c>
      <c r="AH6" s="43">
        <f t="shared" ref="AH6:AH32" si="13">IFERROR(AD6/CONVERT(AE6,AF6,"MWh"),0)</f>
        <v>0</v>
      </c>
      <c r="AI6" s="45">
        <f>IFERROR(VLOOKUP($E6,technológiák!$B$3:$G$11,6,0),0)</f>
        <v>0</v>
      </c>
      <c r="AJ6" s="4">
        <f>IFERROR(VLOOKUP($E6,technológiák!$B$3:$G$11,5,0),0)</f>
        <v>0</v>
      </c>
      <c r="AK6" s="77"/>
      <c r="AL6" s="72"/>
      <c r="AM6" s="47">
        <f>IF(Z6,((AL6+1)/AK6)-(AL6/AA6),0)*IF(J6,VLOOKUP(C6,telephelyek!$A:$N,14,0),1)</f>
        <v>0</v>
      </c>
      <c r="AN6" s="4" t="b">
        <f>IFERROR(VLOOKUP($E6,technológiák!$B$3:$D$11,3,0),FALSE)</f>
        <v>0</v>
      </c>
      <c r="AO6" s="72"/>
      <c r="AP6" s="72"/>
      <c r="AQ6" s="47">
        <f>+IF($AN6,1/$AP6*IF($J6,VLOOKUP($C6,telephelyek!$A:$N,14,0),1),0)</f>
        <v>0</v>
      </c>
      <c r="AR6" s="47">
        <f>+IF($AN6,(1-1/$AP6)*IF($J6,VLOOKUP($C6,telephelyek!$A:$N,14,0),1),0)</f>
        <v>0</v>
      </c>
      <c r="AS6" s="4">
        <f>IFERROR(VLOOKUP($G6,FUELS!$B$4:$F$19,2,0),0)</f>
        <v>0</v>
      </c>
      <c r="AT6" s="4">
        <f>IFERROR(VLOOKUP($G6,FUELS!$B$4:$F$19,3,0),0)</f>
        <v>0</v>
      </c>
      <c r="AU6" s="4">
        <f>IFERROR(VLOOKUP($G6,FUELS!$B$4:$F$19,4,0),0)</f>
        <v>0</v>
      </c>
      <c r="AV6" s="4">
        <f>IFERROR(VLOOKUP($G6,FUELS!$B$4:$F$19,5,0),0)</f>
        <v>0</v>
      </c>
      <c r="AW6" s="4">
        <f>IFERROR(VLOOKUP($AO6,FUELS!$B$4:$F$19,2,0),0)</f>
        <v>0</v>
      </c>
      <c r="AX6" s="4">
        <f>IFERROR(VLOOKUP($AO6,FUELS!$B$4:$F$19,3,0),0)</f>
        <v>0</v>
      </c>
      <c r="AY6" s="4">
        <f>IFERROR(VLOOKUP($AO6,FUELS!$B$4:$F$19,4,0),0)</f>
        <v>0</v>
      </c>
      <c r="AZ6" s="4">
        <f>IFERROR(VLOOKUP($AO6,FUELS!$B$4:$F$19,5,0),0)</f>
        <v>0</v>
      </c>
    </row>
    <row r="7" spans="1:52">
      <c r="A7">
        <v>5</v>
      </c>
      <c r="B7" s="72"/>
      <c r="C7" s="72"/>
      <c r="D7" s="4" t="str">
        <f>IF(C7&lt;&gt;"",VLOOKUP(C7,telephelyek!A:B,2,0),"-")</f>
        <v>-</v>
      </c>
      <c r="E7" s="72"/>
      <c r="F7" s="72"/>
      <c r="G7" s="72"/>
      <c r="H7" s="69"/>
      <c r="I7" s="72" t="s">
        <v>52</v>
      </c>
      <c r="J7" s="54"/>
      <c r="K7" s="50">
        <f>IFERROR(IF(J7,CONVERT(H7,I7,"MWh")/VLOOKUP(C7,telephelyek!$A:$N,14,0),CONVERT(H7,I7,"MWh")),0)</f>
        <v>0</v>
      </c>
      <c r="L7" s="57">
        <f t="shared" si="5"/>
        <v>0</v>
      </c>
      <c r="M7" s="57">
        <f t="shared" si="6"/>
        <v>0</v>
      </c>
      <c r="N7" s="57">
        <f t="shared" si="7"/>
        <v>0</v>
      </c>
      <c r="O7" s="57">
        <f t="shared" si="8"/>
        <v>0</v>
      </c>
      <c r="P7" s="50" t="b">
        <f t="shared" si="2"/>
        <v>0</v>
      </c>
      <c r="Q7" s="72"/>
      <c r="R7" s="64">
        <f t="shared" si="3"/>
        <v>0</v>
      </c>
      <c r="S7" s="72"/>
      <c r="T7" s="82">
        <f t="shared" si="1"/>
        <v>1</v>
      </c>
      <c r="U7" s="38"/>
      <c r="V7" s="38"/>
      <c r="W7" s="44">
        <f t="shared" si="9"/>
        <v>1</v>
      </c>
      <c r="X7" s="123"/>
      <c r="Y7" s="67">
        <f>IF(P7,1/X7*1/T7,0)*IF(J7,VLOOKUP(C7,telephelyek!$A:$N,14,0),1)</f>
        <v>0</v>
      </c>
      <c r="Z7" s="4" t="b">
        <f>IFERROR(VLOOKUP($E7,technológiák!$B$3:$D$11,2,0),FALSE)</f>
        <v>0</v>
      </c>
      <c r="AA7" s="4" t="str">
        <f>IFERROR(VLOOKUP(G7,FUELS!$B$4:$I$19,5+MATCH(F7,FUELS!$G$2:$I$2,1),0),"")</f>
        <v/>
      </c>
      <c r="AB7" s="5"/>
      <c r="AC7" s="5"/>
      <c r="AD7" s="39"/>
      <c r="AE7" s="40">
        <f t="shared" si="10"/>
        <v>0</v>
      </c>
      <c r="AF7" s="41" t="str">
        <f t="shared" si="11"/>
        <v/>
      </c>
      <c r="AG7" s="42">
        <f t="shared" si="12"/>
        <v>0</v>
      </c>
      <c r="AH7" s="43">
        <f t="shared" si="13"/>
        <v>0</v>
      </c>
      <c r="AI7" s="45">
        <f>IFERROR(VLOOKUP($E7,technológiák!$B$3:$G$11,6,0),0)</f>
        <v>0</v>
      </c>
      <c r="AJ7" s="4">
        <f>IFERROR(VLOOKUP($E7,technológiák!$B$3:$G$11,5,0),0)</f>
        <v>0</v>
      </c>
      <c r="AK7" s="77">
        <v>0.57999999999999996</v>
      </c>
      <c r="AL7" s="72">
        <v>0.45</v>
      </c>
      <c r="AM7" s="47">
        <f>IF(Z7,((AL7+1)/AK7)-(AL7/AA7),0)*IF(J7,VLOOKUP(C7,telephelyek!$A:$N,14,0),1)</f>
        <v>0</v>
      </c>
      <c r="AN7" s="4" t="b">
        <f>IFERROR(VLOOKUP($E7,technológiák!$B$3:$D$11,3,0),FALSE)</f>
        <v>0</v>
      </c>
      <c r="AO7" s="72"/>
      <c r="AP7" s="72"/>
      <c r="AQ7" s="47">
        <f>+IF($AN7,1/$AP7*IF($J7,VLOOKUP($C7,telephelyek!$A:$N,14,0),1),0)</f>
        <v>0</v>
      </c>
      <c r="AR7" s="47">
        <f>+IF($AN7,(1-1/$AP7)*IF($J7,VLOOKUP($C7,telephelyek!$A:$N,14,0),1),0)</f>
        <v>0</v>
      </c>
      <c r="AS7" s="4">
        <f>IFERROR(VLOOKUP($G7,FUELS!$B$4:$F$19,2,0),0)</f>
        <v>0</v>
      </c>
      <c r="AT7" s="4">
        <f>IFERROR(VLOOKUP($G7,FUELS!$B$4:$F$19,3,0),0)</f>
        <v>0</v>
      </c>
      <c r="AU7" s="4">
        <f>IFERROR(VLOOKUP($G7,FUELS!$B$4:$F$19,4,0),0)</f>
        <v>0</v>
      </c>
      <c r="AV7" s="4">
        <f>IFERROR(VLOOKUP($G7,FUELS!$B$4:$F$19,5,0),0)</f>
        <v>0</v>
      </c>
      <c r="AW7" s="4">
        <f>IFERROR(VLOOKUP($AO7,FUELS!$B$4:$F$19,2,0),0)</f>
        <v>0</v>
      </c>
      <c r="AX7" s="4">
        <f>IFERROR(VLOOKUP($AO7,FUELS!$B$4:$F$19,3,0),0)</f>
        <v>0</v>
      </c>
      <c r="AY7" s="4">
        <f>IFERROR(VLOOKUP($AO7,FUELS!$B$4:$F$19,4,0),0)</f>
        <v>0</v>
      </c>
      <c r="AZ7" s="4">
        <f>IFERROR(VLOOKUP($AO7,FUELS!$B$4:$F$19,5,0),0)</f>
        <v>0</v>
      </c>
    </row>
    <row r="8" spans="1:52">
      <c r="A8">
        <v>6</v>
      </c>
      <c r="B8" s="72"/>
      <c r="C8" s="72"/>
      <c r="D8" s="4" t="str">
        <f>IF(C8&lt;&gt;"",VLOOKUP(C8,telephelyek!A:B,2,0),"-")</f>
        <v>-</v>
      </c>
      <c r="E8" s="72"/>
      <c r="F8" s="72"/>
      <c r="G8" s="72"/>
      <c r="H8" s="69"/>
      <c r="I8" s="72" t="s">
        <v>52</v>
      </c>
      <c r="J8" s="54"/>
      <c r="K8" s="50">
        <f>IFERROR(IF(J8,CONVERT(H8,I8,"MWh")/VLOOKUP(C8,telephelyek!$A:$N,14,0),CONVERT(H8,I8,"MWh")),0)</f>
        <v>0</v>
      </c>
      <c r="L8" s="57">
        <f t="shared" si="5"/>
        <v>0</v>
      </c>
      <c r="M8" s="57">
        <f t="shared" si="6"/>
        <v>0</v>
      </c>
      <c r="N8" s="57">
        <f t="shared" si="7"/>
        <v>0</v>
      </c>
      <c r="O8" s="57">
        <f t="shared" si="8"/>
        <v>0</v>
      </c>
      <c r="P8" s="50" t="b">
        <f t="shared" si="2"/>
        <v>0</v>
      </c>
      <c r="Q8" s="72"/>
      <c r="R8" s="64">
        <f t="shared" si="3"/>
        <v>0</v>
      </c>
      <c r="S8" s="72"/>
      <c r="T8" s="82">
        <f t="shared" si="1"/>
        <v>1</v>
      </c>
      <c r="U8" s="38"/>
      <c r="V8" s="38"/>
      <c r="W8" s="44">
        <f t="shared" si="9"/>
        <v>1</v>
      </c>
      <c r="X8" s="123"/>
      <c r="Y8" s="67">
        <f>IF(P8,1/X8*1/T8,0)*IF(J8,VLOOKUP(C8,telephelyek!$A:$N,14,0),1)</f>
        <v>0</v>
      </c>
      <c r="Z8" s="4" t="b">
        <f>IFERROR(VLOOKUP($E8,technológiák!$B$3:$D$11,2,0),FALSE)</f>
        <v>0</v>
      </c>
      <c r="AA8" s="4" t="str">
        <f>IFERROR(VLOOKUP(G8,FUELS!$B$4:$I$19,5+MATCH(F8,FUELS!$G$2:$I$2,1),0),"")</f>
        <v/>
      </c>
      <c r="AB8" s="5"/>
      <c r="AC8" s="5"/>
      <c r="AD8" s="39"/>
      <c r="AE8" s="40">
        <f t="shared" si="10"/>
        <v>0</v>
      </c>
      <c r="AF8" s="41" t="str">
        <f t="shared" si="11"/>
        <v/>
      </c>
      <c r="AG8" s="42">
        <f t="shared" si="12"/>
        <v>0</v>
      </c>
      <c r="AH8" s="43">
        <f t="shared" si="13"/>
        <v>0</v>
      </c>
      <c r="AI8" s="45">
        <f>IFERROR(VLOOKUP($E8,technológiák!$B$3:$G$11,6,0),0)</f>
        <v>0</v>
      </c>
      <c r="AJ8" s="4">
        <f>IFERROR(VLOOKUP($E8,technológiák!$B$3:$G$11,5,0),0)</f>
        <v>0</v>
      </c>
      <c r="AK8" s="77">
        <v>0.88400000000000001</v>
      </c>
      <c r="AL8" s="72">
        <v>0.75</v>
      </c>
      <c r="AM8" s="47">
        <f>IF(Z8,((AL8+1)/AK8)-(AL8/AA8),0)*IF(J8,VLOOKUP(C8,telephelyek!$A:$N,14,0),1)</f>
        <v>0</v>
      </c>
      <c r="AN8" s="4" t="b">
        <f>IFERROR(VLOOKUP($E8,technológiák!$B$3:$D$11,3,0),FALSE)</f>
        <v>0</v>
      </c>
      <c r="AO8" s="72"/>
      <c r="AP8" s="72"/>
      <c r="AQ8" s="47">
        <f>+IF($AN8,1/$AP8*IF($J8,VLOOKUP($C8,telephelyek!$A:$N,14,0),1),0)</f>
        <v>0</v>
      </c>
      <c r="AR8" s="47">
        <f>+IF($AN8,(1-1/$AP8)*IF($J8,VLOOKUP($C8,telephelyek!$A:$N,14,0),1),0)</f>
        <v>0</v>
      </c>
      <c r="AS8" s="4">
        <f>IFERROR(VLOOKUP($G8,FUELS!$B$4:$F$19,2,0),0)</f>
        <v>0</v>
      </c>
      <c r="AT8" s="4">
        <f>IFERROR(VLOOKUP($G8,FUELS!$B$4:$F$19,3,0),0)</f>
        <v>0</v>
      </c>
      <c r="AU8" s="4">
        <f>IFERROR(VLOOKUP($G8,FUELS!$B$4:$F$19,4,0),0)</f>
        <v>0</v>
      </c>
      <c r="AV8" s="4">
        <f>IFERROR(VLOOKUP($G8,FUELS!$B$4:$F$19,5,0),0)</f>
        <v>0</v>
      </c>
      <c r="AW8" s="4">
        <f>IFERROR(VLOOKUP($AO8,FUELS!$B$4:$F$19,2,0),0)</f>
        <v>0</v>
      </c>
      <c r="AX8" s="4">
        <f>IFERROR(VLOOKUP($AO8,FUELS!$B$4:$F$19,3,0),0)</f>
        <v>0</v>
      </c>
      <c r="AY8" s="4">
        <f>IFERROR(VLOOKUP($AO8,FUELS!$B$4:$F$19,4,0),0)</f>
        <v>0</v>
      </c>
      <c r="AZ8" s="4">
        <f>IFERROR(VLOOKUP($AO8,FUELS!$B$4:$F$19,5,0),0)</f>
        <v>0</v>
      </c>
    </row>
    <row r="9" spans="1:52">
      <c r="A9">
        <v>7</v>
      </c>
      <c r="B9" s="72"/>
      <c r="C9" s="72"/>
      <c r="D9" s="4" t="str">
        <f>IF(C9&lt;&gt;"",VLOOKUP(C9,telephelyek!A:B,2,0),"-")</f>
        <v>-</v>
      </c>
      <c r="E9" s="72"/>
      <c r="F9" s="72"/>
      <c r="G9" s="72"/>
      <c r="H9" s="69"/>
      <c r="I9" s="72" t="s">
        <v>52</v>
      </c>
      <c r="J9" s="54"/>
      <c r="K9" s="50">
        <f>IFERROR(IF(J9,CONVERT(H9,I9,"MWh")/VLOOKUP(C9,telephelyek!$A:$N,14,0),CONVERT(H9,I9,"MWh")),0)</f>
        <v>0</v>
      </c>
      <c r="L9" s="57">
        <f t="shared" si="5"/>
        <v>0</v>
      </c>
      <c r="M9" s="57">
        <f t="shared" si="6"/>
        <v>0</v>
      </c>
      <c r="N9" s="57">
        <f t="shared" si="7"/>
        <v>0</v>
      </c>
      <c r="O9" s="57">
        <f t="shared" si="8"/>
        <v>0</v>
      </c>
      <c r="P9" s="50" t="b">
        <f t="shared" si="2"/>
        <v>0</v>
      </c>
      <c r="Q9" s="72"/>
      <c r="R9" s="64">
        <f t="shared" si="3"/>
        <v>0</v>
      </c>
      <c r="S9" s="72"/>
      <c r="T9" s="82">
        <f t="shared" si="1"/>
        <v>1</v>
      </c>
      <c r="U9" s="38"/>
      <c r="V9" s="38"/>
      <c r="W9" s="44">
        <f t="shared" si="9"/>
        <v>1</v>
      </c>
      <c r="X9" s="123"/>
      <c r="Y9" s="67">
        <f>IF(P9,1/X9*1/T9,0)*IF(J9,VLOOKUP(C9,telephelyek!$A:$N,14,0),1)</f>
        <v>0</v>
      </c>
      <c r="Z9" s="4" t="b">
        <f>IFERROR(VLOOKUP($E9,technológiák!$B$3:$D$11,2,0),FALSE)</f>
        <v>0</v>
      </c>
      <c r="AA9" s="4" t="str">
        <f>IFERROR(VLOOKUP(G9,FUELS!$B$4:$I$19,5+MATCH(F9,FUELS!$G$2:$I$2,1),0),"")</f>
        <v/>
      </c>
      <c r="AB9" s="5"/>
      <c r="AC9" s="5"/>
      <c r="AD9" s="39"/>
      <c r="AE9" s="40">
        <f t="shared" si="10"/>
        <v>0</v>
      </c>
      <c r="AF9" s="41" t="str">
        <f t="shared" si="11"/>
        <v/>
      </c>
      <c r="AG9" s="42">
        <f t="shared" si="12"/>
        <v>0</v>
      </c>
      <c r="AH9" s="43">
        <f t="shared" si="13"/>
        <v>0</v>
      </c>
      <c r="AI9" s="45">
        <f>IFERROR(VLOOKUP($E9,technológiák!$B$3:$G$11,6,0),0)</f>
        <v>0</v>
      </c>
      <c r="AJ9" s="4">
        <f>IFERROR(VLOOKUP($E9,technológiák!$B$3:$G$11,5,0),0)</f>
        <v>0</v>
      </c>
      <c r="AK9" s="77">
        <v>0.81399999999999995</v>
      </c>
      <c r="AL9" s="72">
        <v>0.75</v>
      </c>
      <c r="AM9" s="47">
        <f>IF(Z9,((AL9+1)/AK9)-(AL9/AA9),0)*IF(J9,VLOOKUP(C9,telephelyek!$A:$N,14,0),1)</f>
        <v>0</v>
      </c>
      <c r="AN9" s="4" t="b">
        <f>IFERROR(VLOOKUP($E9,technológiák!$B$3:$D$11,3,0),FALSE)</f>
        <v>0</v>
      </c>
      <c r="AO9" s="72"/>
      <c r="AP9" s="72"/>
      <c r="AQ9" s="47">
        <f>+IF($AN9,1/$AP9*IF($J9,VLOOKUP($C9,telephelyek!$A:$N,14,0),1),0)</f>
        <v>0</v>
      </c>
      <c r="AR9" s="47">
        <f>+IF($AN9,(1-1/$AP9)*IF($J9,VLOOKUP($C9,telephelyek!$A:$N,14,0),1),0)</f>
        <v>0</v>
      </c>
      <c r="AS9" s="4">
        <f>IFERROR(VLOOKUP($G9,FUELS!$B$4:$F$19,2,0),0)</f>
        <v>0</v>
      </c>
      <c r="AT9" s="4">
        <f>IFERROR(VLOOKUP($G9,FUELS!$B$4:$F$19,3,0),0)</f>
        <v>0</v>
      </c>
      <c r="AU9" s="4">
        <f>IFERROR(VLOOKUP($G9,FUELS!$B$4:$F$19,4,0),0)</f>
        <v>0</v>
      </c>
      <c r="AV9" s="4">
        <f>IFERROR(VLOOKUP($G9,FUELS!$B$4:$F$19,5,0),0)</f>
        <v>0</v>
      </c>
      <c r="AW9" s="4">
        <f>IFERROR(VLOOKUP($AO9,FUELS!$B$4:$F$19,2,0),0)</f>
        <v>0</v>
      </c>
      <c r="AX9" s="4">
        <f>IFERROR(VLOOKUP($AO9,FUELS!$B$4:$F$19,3,0),0)</f>
        <v>0</v>
      </c>
      <c r="AY9" s="4">
        <f>IFERROR(VLOOKUP($AO9,FUELS!$B$4:$F$19,4,0),0)</f>
        <v>0</v>
      </c>
      <c r="AZ9" s="4">
        <f>IFERROR(VLOOKUP($AO9,FUELS!$B$4:$F$19,5,0),0)</f>
        <v>0</v>
      </c>
    </row>
    <row r="10" spans="1:52">
      <c r="A10">
        <v>8</v>
      </c>
      <c r="B10" s="72"/>
      <c r="C10" s="72"/>
      <c r="D10" s="4" t="str">
        <f>IF(C10&lt;&gt;"",VLOOKUP(C10,telephelyek!A:B,2,0),"-")</f>
        <v>-</v>
      </c>
      <c r="E10" s="72"/>
      <c r="F10" s="72"/>
      <c r="G10" s="72"/>
      <c r="H10" s="69"/>
      <c r="I10" s="72" t="s">
        <v>52</v>
      </c>
      <c r="J10" s="54"/>
      <c r="K10" s="50">
        <f>IFERROR(IF(J10,CONVERT(H10,I10,"MWh")/VLOOKUP(C10,telephelyek!$A:$N,14,0),CONVERT(H10,I10,"MWh")),0)</f>
        <v>0</v>
      </c>
      <c r="L10" s="57">
        <f t="shared" si="5"/>
        <v>0</v>
      </c>
      <c r="M10" s="57">
        <f t="shared" si="6"/>
        <v>0</v>
      </c>
      <c r="N10" s="57">
        <f t="shared" si="7"/>
        <v>0</v>
      </c>
      <c r="O10" s="57">
        <f t="shared" si="8"/>
        <v>0</v>
      </c>
      <c r="P10" s="50" t="b">
        <f t="shared" si="2"/>
        <v>0</v>
      </c>
      <c r="Q10" s="72" t="s">
        <v>90</v>
      </c>
      <c r="R10" s="64">
        <f t="shared" si="3"/>
        <v>0</v>
      </c>
      <c r="S10" s="72"/>
      <c r="T10" s="82">
        <f t="shared" si="1"/>
        <v>1</v>
      </c>
      <c r="U10" s="38">
        <v>72500</v>
      </c>
      <c r="V10" s="38" t="s">
        <v>53</v>
      </c>
      <c r="W10" s="44">
        <f t="shared" si="9"/>
        <v>0</v>
      </c>
      <c r="X10" s="123">
        <v>0.91</v>
      </c>
      <c r="Y10" s="67">
        <f>IF(P10,1/X10*1/T10,0)*IF(J10,VLOOKUP(C10,telephelyek!$A:$N,14,0),1)</f>
        <v>0</v>
      </c>
      <c r="Z10" s="4" t="b">
        <f>IFERROR(VLOOKUP($E10,technológiák!$B$3:$D$11,2,0),FALSE)</f>
        <v>0</v>
      </c>
      <c r="AA10" s="4" t="str">
        <f>IFERROR(VLOOKUP(G10,FUELS!$B$4:$I$19,5+MATCH(F10,FUELS!$G$2:$I$2,1),0),"")</f>
        <v/>
      </c>
      <c r="AB10" s="5"/>
      <c r="AC10" s="5"/>
      <c r="AD10" s="39"/>
      <c r="AE10" s="40">
        <f t="shared" si="10"/>
        <v>0</v>
      </c>
      <c r="AF10" s="41" t="str">
        <f t="shared" si="11"/>
        <v/>
      </c>
      <c r="AG10" s="42">
        <f t="shared" si="12"/>
        <v>0</v>
      </c>
      <c r="AH10" s="43">
        <f t="shared" si="13"/>
        <v>0</v>
      </c>
      <c r="AI10" s="45">
        <f>IFERROR(VLOOKUP($E10,technológiák!$B$3:$G$11,6,0),0)</f>
        <v>0</v>
      </c>
      <c r="AJ10" s="4">
        <f>IFERROR(VLOOKUP($E10,technológiák!$B$3:$G$11,5,0),0)</f>
        <v>0</v>
      </c>
      <c r="AK10" s="77"/>
      <c r="AL10" s="72"/>
      <c r="AM10" s="47">
        <f>IF(Z10,((AL10+1)/AK10)-(AL10/AA10),0)*IF(J10,VLOOKUP(C10,telephelyek!$A:$N,14,0),1)</f>
        <v>0</v>
      </c>
      <c r="AN10" s="4" t="b">
        <f>IFERROR(VLOOKUP($E10,technológiák!$B$3:$D$11,3,0),FALSE)</f>
        <v>0</v>
      </c>
      <c r="AO10" s="72"/>
      <c r="AP10" s="72"/>
      <c r="AQ10" s="47">
        <f>+IF($AN10,1/$AP10*IF($J10,VLOOKUP($C10,telephelyek!$A:$N,14,0),1),0)</f>
        <v>0</v>
      </c>
      <c r="AR10" s="47">
        <f>+IF($AN10,(1-1/$AP10)*IF($J10,VLOOKUP($C10,telephelyek!$A:$N,14,0),1),0)</f>
        <v>0</v>
      </c>
      <c r="AS10" s="4">
        <f>IFERROR(VLOOKUP($G10,FUELS!$B$4:$F$19,2,0),0)</f>
        <v>0</v>
      </c>
      <c r="AT10" s="4">
        <f>IFERROR(VLOOKUP($G10,FUELS!$B$4:$F$19,3,0),0)</f>
        <v>0</v>
      </c>
      <c r="AU10" s="4">
        <f>IFERROR(VLOOKUP($G10,FUELS!$B$4:$F$19,4,0),0)</f>
        <v>0</v>
      </c>
      <c r="AV10" s="4">
        <f>IFERROR(VLOOKUP($G10,FUELS!$B$4:$F$19,5,0),0)</f>
        <v>0</v>
      </c>
      <c r="AW10" s="4">
        <f>IFERROR(VLOOKUP($AO10,FUELS!$B$4:$F$19,2,0),0)</f>
        <v>0</v>
      </c>
      <c r="AX10" s="4">
        <f>IFERROR(VLOOKUP($AO10,FUELS!$B$4:$F$19,3,0),0)</f>
        <v>0</v>
      </c>
      <c r="AY10" s="4">
        <f>IFERROR(VLOOKUP($AO10,FUELS!$B$4:$F$19,4,0),0)</f>
        <v>0</v>
      </c>
      <c r="AZ10" s="4">
        <f>IFERROR(VLOOKUP($AO10,FUELS!$B$4:$F$19,5,0),0)</f>
        <v>0</v>
      </c>
    </row>
    <row r="11" spans="1:52">
      <c r="A11">
        <v>9</v>
      </c>
      <c r="B11" s="72"/>
      <c r="C11" s="72"/>
      <c r="D11" s="4" t="str">
        <f>IF(C11&lt;&gt;"",VLOOKUP(C11,telephelyek!A:B,2,0),"-")</f>
        <v>-</v>
      </c>
      <c r="E11" s="72"/>
      <c r="F11" s="72"/>
      <c r="G11" s="72"/>
      <c r="H11" s="69"/>
      <c r="I11" s="72" t="s">
        <v>52</v>
      </c>
      <c r="J11" s="54"/>
      <c r="K11" s="50">
        <f>IFERROR(IF(J11,CONVERT(H11,I11,"MWh")/VLOOKUP(C11,telephelyek!$A:$N,14,0),CONVERT(H11,I11,"MWh")),0)</f>
        <v>0</v>
      </c>
      <c r="L11" s="57">
        <f t="shared" si="5"/>
        <v>0</v>
      </c>
      <c r="M11" s="57">
        <f t="shared" si="6"/>
        <v>0</v>
      </c>
      <c r="N11" s="57">
        <f t="shared" si="7"/>
        <v>0</v>
      </c>
      <c r="O11" s="57">
        <f t="shared" si="8"/>
        <v>0</v>
      </c>
      <c r="P11" s="50" t="b">
        <f t="shared" si="2"/>
        <v>0</v>
      </c>
      <c r="Q11" s="72" t="s">
        <v>90</v>
      </c>
      <c r="R11" s="64">
        <f t="shared" si="3"/>
        <v>0</v>
      </c>
      <c r="S11" s="72"/>
      <c r="T11" s="82">
        <f t="shared" si="1"/>
        <v>1</v>
      </c>
      <c r="U11" s="38"/>
      <c r="V11" s="38"/>
      <c r="W11" s="44">
        <f t="shared" si="9"/>
        <v>1</v>
      </c>
      <c r="X11" s="123"/>
      <c r="Y11" s="67">
        <f>IF(P11,1/X11*1/T11,0)*IF(J11,VLOOKUP(C11,telephelyek!$A:$N,14,0),1)</f>
        <v>0</v>
      </c>
      <c r="Z11" s="4" t="b">
        <f>IFERROR(VLOOKUP($E11,technológiák!$B$3:$D$11,2,0),FALSE)</f>
        <v>0</v>
      </c>
      <c r="AA11" s="4" t="str">
        <f>IFERROR(VLOOKUP(G11,FUELS!$B$4:$I$19,5+MATCH(F11,FUELS!$G$2:$I$2,1),0),"")</f>
        <v/>
      </c>
      <c r="AB11" s="5"/>
      <c r="AC11" s="5"/>
      <c r="AD11" s="39"/>
      <c r="AE11" s="40">
        <f t="shared" si="10"/>
        <v>0</v>
      </c>
      <c r="AF11" s="41" t="str">
        <f t="shared" si="11"/>
        <v/>
      </c>
      <c r="AG11" s="42">
        <f t="shared" si="12"/>
        <v>0</v>
      </c>
      <c r="AH11" s="43">
        <f t="shared" si="13"/>
        <v>0</v>
      </c>
      <c r="AI11" s="45">
        <f>IFERROR(VLOOKUP($E11,technológiák!$B$3:$G$11,6,0),0)</f>
        <v>0</v>
      </c>
      <c r="AJ11" s="4">
        <f>IFERROR(VLOOKUP($E11,technológiák!$B$3:$G$11,5,0),0)</f>
        <v>0</v>
      </c>
      <c r="AK11" s="77">
        <v>0.83</v>
      </c>
      <c r="AL11" s="72">
        <v>0.55000000000000004</v>
      </c>
      <c r="AM11" s="47">
        <f>IF(Z11,((AL11+1)/AK11)-(AL11/AA11),0)*IF(J11,VLOOKUP(C11,telephelyek!$A:$N,14,0),1)</f>
        <v>0</v>
      </c>
      <c r="AN11" s="4" t="b">
        <f>IFERROR(VLOOKUP($E11,technológiák!$B$3:$D$11,3,0),FALSE)</f>
        <v>0</v>
      </c>
      <c r="AO11" s="72"/>
      <c r="AP11" s="72"/>
      <c r="AQ11" s="47">
        <f>+IF($AN11,1/$AP11*IF($J11,VLOOKUP($C11,telephelyek!$A:$N,14,0),1),0)</f>
        <v>0</v>
      </c>
      <c r="AR11" s="47">
        <f>+IF($AN11,(1-1/$AP11)*IF($J11,VLOOKUP($C11,telephelyek!$A:$N,14,0),1),0)</f>
        <v>0</v>
      </c>
      <c r="AS11" s="4">
        <f>IFERROR(VLOOKUP($G11,FUELS!$B$4:$F$19,2,0),0)</f>
        <v>0</v>
      </c>
      <c r="AT11" s="4">
        <f>IFERROR(VLOOKUP($G11,FUELS!$B$4:$F$19,3,0),0)</f>
        <v>0</v>
      </c>
      <c r="AU11" s="4">
        <f>IFERROR(VLOOKUP($G11,FUELS!$B$4:$F$19,4,0),0)</f>
        <v>0</v>
      </c>
      <c r="AV11" s="4">
        <f>IFERROR(VLOOKUP($G11,FUELS!$B$4:$F$19,5,0),0)</f>
        <v>0</v>
      </c>
      <c r="AW11" s="4">
        <f>IFERROR(VLOOKUP($AO11,FUELS!$B$4:$F$19,2,0),0)</f>
        <v>0</v>
      </c>
      <c r="AX11" s="4">
        <f>IFERROR(VLOOKUP($AO11,FUELS!$B$4:$F$19,3,0),0)</f>
        <v>0</v>
      </c>
      <c r="AY11" s="4">
        <f>IFERROR(VLOOKUP($AO11,FUELS!$B$4:$F$19,4,0),0)</f>
        <v>0</v>
      </c>
      <c r="AZ11" s="4">
        <f>IFERROR(VLOOKUP($AO11,FUELS!$B$4:$F$19,5,0),0)</f>
        <v>0</v>
      </c>
    </row>
    <row r="12" spans="1:52">
      <c r="A12">
        <v>10</v>
      </c>
      <c r="B12" s="72"/>
      <c r="C12" s="72"/>
      <c r="D12" s="4" t="str">
        <f>IF(C12&lt;&gt;"",VLOOKUP(C12,telephelyek!A:B,2,0),"-")</f>
        <v>-</v>
      </c>
      <c r="E12" s="72"/>
      <c r="F12" s="72"/>
      <c r="G12" s="72"/>
      <c r="H12" s="69"/>
      <c r="I12" s="72" t="s">
        <v>52</v>
      </c>
      <c r="J12" s="54"/>
      <c r="K12" s="50">
        <f>IFERROR(IF(J12,CONVERT(H12,I12,"MWh")/VLOOKUP(C12,telephelyek!$A:$N,14,0),CONVERT(H12,I12,"MWh")),0)</f>
        <v>0</v>
      </c>
      <c r="L12" s="57">
        <f t="shared" si="5"/>
        <v>0</v>
      </c>
      <c r="M12" s="57">
        <f t="shared" si="6"/>
        <v>0</v>
      </c>
      <c r="N12" s="57">
        <f t="shared" si="7"/>
        <v>0</v>
      </c>
      <c r="O12" s="57">
        <f t="shared" si="8"/>
        <v>0</v>
      </c>
      <c r="P12" s="50" t="b">
        <f t="shared" si="2"/>
        <v>0</v>
      </c>
      <c r="Q12" s="72" t="s">
        <v>90</v>
      </c>
      <c r="R12" s="64">
        <f t="shared" si="3"/>
        <v>0</v>
      </c>
      <c r="S12" s="72"/>
      <c r="T12" s="82">
        <f t="shared" si="1"/>
        <v>1</v>
      </c>
      <c r="U12" s="38"/>
      <c r="V12" s="38"/>
      <c r="W12" s="44">
        <f t="shared" si="9"/>
        <v>1</v>
      </c>
      <c r="X12" s="123">
        <v>1</v>
      </c>
      <c r="Y12" s="67">
        <f>IF(P12,1/X12*1/T12,0)*IF(J12,VLOOKUP(C12,telephelyek!$A:$N,14,0),1)</f>
        <v>0</v>
      </c>
      <c r="Z12" s="4" t="b">
        <f>IFERROR(VLOOKUP($E12,technológiák!$B$3:$D$11,2,0),FALSE)</f>
        <v>0</v>
      </c>
      <c r="AA12" s="4" t="str">
        <f>IFERROR(VLOOKUP(G12,FUELS!$B$4:$I$19,5+MATCH(F12,FUELS!$G$2:$I$2,1),0),"")</f>
        <v/>
      </c>
      <c r="AB12" s="5"/>
      <c r="AC12" s="5"/>
      <c r="AD12" s="39"/>
      <c r="AE12" s="40">
        <f t="shared" si="10"/>
        <v>0</v>
      </c>
      <c r="AF12" s="41" t="str">
        <f t="shared" si="11"/>
        <v/>
      </c>
      <c r="AG12" s="42">
        <f t="shared" si="12"/>
        <v>0</v>
      </c>
      <c r="AH12" s="43">
        <f t="shared" si="13"/>
        <v>0</v>
      </c>
      <c r="AI12" s="45">
        <f>IFERROR(VLOOKUP($E12,technológiák!$B$3:$G$11,6,0),0)</f>
        <v>0</v>
      </c>
      <c r="AJ12" s="4">
        <f>IFERROR(VLOOKUP($E12,technológiák!$B$3:$G$11,5,0),0)</f>
        <v>0</v>
      </c>
      <c r="AK12" s="77"/>
      <c r="AL12" s="72"/>
      <c r="AM12" s="47">
        <f>IF(Z12,((AL12+1)/AK12)-(AL12/AA12),0)*IF(J12,VLOOKUP(C12,telephelyek!$A:$N,14,0),1)</f>
        <v>0</v>
      </c>
      <c r="AN12" s="4" t="b">
        <f>IFERROR(VLOOKUP($E12,technológiák!$B$3:$D$11,3,0),FALSE)</f>
        <v>0</v>
      </c>
      <c r="AO12" s="72"/>
      <c r="AP12" s="72"/>
      <c r="AQ12" s="47">
        <f>+IF($AN12,1/$AP12*IF($J12,VLOOKUP($C12,telephelyek!$A:$N,14,0),1),0)</f>
        <v>0</v>
      </c>
      <c r="AR12" s="47">
        <f>+IF($AN12,(1-1/$AP12)*IF($J12,VLOOKUP($C12,telephelyek!$A:$N,14,0),1),0)</f>
        <v>0</v>
      </c>
      <c r="AS12" s="4">
        <f>IFERROR(VLOOKUP($G12,FUELS!$B$4:$F$19,2,0),0)</f>
        <v>0</v>
      </c>
      <c r="AT12" s="4">
        <f>IFERROR(VLOOKUP($G12,FUELS!$B$4:$F$19,3,0),0)</f>
        <v>0</v>
      </c>
      <c r="AU12" s="4">
        <f>IFERROR(VLOOKUP($G12,FUELS!$B$4:$F$19,4,0),0)</f>
        <v>0</v>
      </c>
      <c r="AV12" s="4">
        <f>IFERROR(VLOOKUP($G12,FUELS!$B$4:$F$19,5,0),0)</f>
        <v>0</v>
      </c>
      <c r="AW12" s="4">
        <f>IFERROR(VLOOKUP($AO12,FUELS!$B$4:$F$19,2,0),0)</f>
        <v>0</v>
      </c>
      <c r="AX12" s="4">
        <f>IFERROR(VLOOKUP($AO12,FUELS!$B$4:$F$19,3,0),0)</f>
        <v>0</v>
      </c>
      <c r="AY12" s="4">
        <f>IFERROR(VLOOKUP($AO12,FUELS!$B$4:$F$19,4,0),0)</f>
        <v>0</v>
      </c>
      <c r="AZ12" s="4">
        <f>IFERROR(VLOOKUP($AO12,FUELS!$B$4:$F$19,5,0),0)</f>
        <v>0</v>
      </c>
    </row>
    <row r="13" spans="1:52">
      <c r="A13">
        <v>11</v>
      </c>
      <c r="B13" s="72"/>
      <c r="C13" s="72"/>
      <c r="D13" s="4" t="str">
        <f>IF(C13&lt;&gt;"",VLOOKUP(C13,telephelyek!A:B,2,0),"-")</f>
        <v>-</v>
      </c>
      <c r="E13" s="72"/>
      <c r="F13" s="72"/>
      <c r="G13" s="72"/>
      <c r="H13" s="69"/>
      <c r="I13" s="72" t="s">
        <v>52</v>
      </c>
      <c r="J13" s="54"/>
      <c r="K13" s="50">
        <f>IFERROR(IF(J13,CONVERT(H13,I13,"MWh")/VLOOKUP(C13,telephelyek!$A:$N,14,0),CONVERT(H13,I13,"MWh")),0)</f>
        <v>0</v>
      </c>
      <c r="L13" s="57">
        <f t="shared" si="5"/>
        <v>0</v>
      </c>
      <c r="M13" s="57">
        <f t="shared" si="6"/>
        <v>0</v>
      </c>
      <c r="N13" s="57">
        <f t="shared" si="7"/>
        <v>0</v>
      </c>
      <c r="O13" s="57">
        <f t="shared" si="8"/>
        <v>0</v>
      </c>
      <c r="P13" s="50" t="b">
        <f t="shared" si="2"/>
        <v>0</v>
      </c>
      <c r="Q13" s="72" t="s">
        <v>90</v>
      </c>
      <c r="R13" s="64">
        <f t="shared" si="3"/>
        <v>0</v>
      </c>
      <c r="S13" s="72"/>
      <c r="T13" s="82">
        <f t="shared" si="1"/>
        <v>1</v>
      </c>
      <c r="U13" s="38"/>
      <c r="V13" s="38"/>
      <c r="W13" s="44">
        <f t="shared" si="9"/>
        <v>1</v>
      </c>
      <c r="X13" s="123">
        <v>0.91</v>
      </c>
      <c r="Y13" s="67">
        <f>IF(P13,1/X13*1/T13,0)*IF(J13,VLOOKUP(C13,telephelyek!$A:$N,14,0),1)</f>
        <v>0</v>
      </c>
      <c r="Z13" s="4" t="b">
        <f>IFERROR(VLOOKUP($E13,technológiák!$B$3:$D$11,2,0),FALSE)</f>
        <v>0</v>
      </c>
      <c r="AA13" s="4" t="str">
        <f>IFERROR(VLOOKUP(G13,FUELS!$B$4:$I$19,5+MATCH(F13,FUELS!$G$2:$I$2,1),0),"")</f>
        <v/>
      </c>
      <c r="AB13" s="5"/>
      <c r="AC13" s="5"/>
      <c r="AD13" s="39"/>
      <c r="AE13" s="40">
        <f t="shared" si="10"/>
        <v>0</v>
      </c>
      <c r="AF13" s="41" t="str">
        <f t="shared" si="11"/>
        <v/>
      </c>
      <c r="AG13" s="42">
        <f t="shared" si="12"/>
        <v>0</v>
      </c>
      <c r="AH13" s="43">
        <f t="shared" si="13"/>
        <v>0</v>
      </c>
      <c r="AI13" s="45">
        <f>IFERROR(VLOOKUP($E13,technológiák!$B$3:$G$11,6,0),0)</f>
        <v>0</v>
      </c>
      <c r="AJ13" s="4">
        <f>IFERROR(VLOOKUP($E13,technológiák!$B$3:$G$11,5,0),0)</f>
        <v>0</v>
      </c>
      <c r="AK13" s="77"/>
      <c r="AL13" s="72"/>
      <c r="AM13" s="47">
        <f>IF(Z13,((AL13+1)/AK13)-(AL13/AA13),0)*IF(J13,VLOOKUP(C13,telephelyek!$A:$N,14,0),1)</f>
        <v>0</v>
      </c>
      <c r="AN13" s="4" t="b">
        <f>IFERROR(VLOOKUP($E13,technológiák!$B$3:$D$11,3,0),FALSE)</f>
        <v>0</v>
      </c>
      <c r="AO13" s="72"/>
      <c r="AP13" s="72"/>
      <c r="AQ13" s="47">
        <f>+IF($AN13,1/$AP13*IF($J13,VLOOKUP($C13,telephelyek!$A:$N,14,0),1),0)</f>
        <v>0</v>
      </c>
      <c r="AR13" s="47">
        <f>+IF($AN13,(1-1/$AP13)*IF($J13,VLOOKUP($C13,telephelyek!$A:$N,14,0),1),0)</f>
        <v>0</v>
      </c>
      <c r="AS13" s="4">
        <f>IFERROR(VLOOKUP($G13,FUELS!$B$4:$F$19,2,0),0)</f>
        <v>0</v>
      </c>
      <c r="AT13" s="4">
        <f>IFERROR(VLOOKUP($G13,FUELS!$B$4:$F$19,3,0),0)</f>
        <v>0</v>
      </c>
      <c r="AU13" s="4">
        <f>IFERROR(VLOOKUP($G13,FUELS!$B$4:$F$19,4,0),0)</f>
        <v>0</v>
      </c>
      <c r="AV13" s="4">
        <f>IFERROR(VLOOKUP($G13,FUELS!$B$4:$F$19,5,0),0)</f>
        <v>0</v>
      </c>
      <c r="AW13" s="4">
        <f>IFERROR(VLOOKUP($AO13,FUELS!$B$4:$F$19,2,0),0)</f>
        <v>0</v>
      </c>
      <c r="AX13" s="4">
        <f>IFERROR(VLOOKUP($AO13,FUELS!$B$4:$F$19,3,0),0)</f>
        <v>0</v>
      </c>
      <c r="AY13" s="4">
        <f>IFERROR(VLOOKUP($AO13,FUELS!$B$4:$F$19,4,0),0)</f>
        <v>0</v>
      </c>
      <c r="AZ13" s="4">
        <f>IFERROR(VLOOKUP($AO13,FUELS!$B$4:$F$19,5,0),0)</f>
        <v>0</v>
      </c>
    </row>
    <row r="14" spans="1:52">
      <c r="A14">
        <v>12</v>
      </c>
      <c r="B14" s="72"/>
      <c r="C14" s="72"/>
      <c r="D14" s="4" t="str">
        <f>IF(C14&lt;&gt;"",VLOOKUP(C14,telephelyek!A:B,2,0),"-")</f>
        <v>-</v>
      </c>
      <c r="E14" s="72"/>
      <c r="F14" s="72"/>
      <c r="G14" s="72"/>
      <c r="H14" s="69"/>
      <c r="I14" s="72" t="s">
        <v>52</v>
      </c>
      <c r="J14" s="54"/>
      <c r="K14" s="50">
        <f>IFERROR(IF(J14,CONVERT(H14,I14,"MWh")/VLOOKUP(C14,telephelyek!$A:$N,14,0),CONVERT(H14,I14,"MWh")),0)</f>
        <v>0</v>
      </c>
      <c r="L14" s="57">
        <f t="shared" si="5"/>
        <v>0</v>
      </c>
      <c r="M14" s="57">
        <f t="shared" si="6"/>
        <v>0</v>
      </c>
      <c r="N14" s="57">
        <f t="shared" si="7"/>
        <v>0</v>
      </c>
      <c r="O14" s="57">
        <f t="shared" si="8"/>
        <v>0</v>
      </c>
      <c r="P14" s="50" t="b">
        <f t="shared" si="2"/>
        <v>0</v>
      </c>
      <c r="Q14" s="72" t="s">
        <v>108</v>
      </c>
      <c r="R14" s="64">
        <f t="shared" si="3"/>
        <v>2</v>
      </c>
      <c r="S14" s="72" t="s">
        <v>107</v>
      </c>
      <c r="T14" s="82">
        <f>IFERROR(VLOOKUP(S14,$B:$AJ,26,0),1)</f>
        <v>1</v>
      </c>
      <c r="U14" s="38"/>
      <c r="V14" s="38"/>
      <c r="W14" s="44">
        <f t="shared" si="9"/>
        <v>1</v>
      </c>
      <c r="X14" s="123">
        <v>0.98</v>
      </c>
      <c r="Y14" s="67">
        <f>IF(P14,1/X14*1/T14,0)*IF(J14,VLOOKUP(C14,telephelyek!$A:$N,14,0),1)</f>
        <v>0</v>
      </c>
      <c r="Z14" s="4" t="b">
        <f>IFERROR(VLOOKUP($E14,technológiák!$B$3:$D$11,2,0),FALSE)</f>
        <v>0</v>
      </c>
      <c r="AA14" s="4" t="str">
        <f>IFERROR(VLOOKUP(G14,FUELS!$B$4:$I$19,5+MATCH(F14,FUELS!$G$2:$I$2,1),0),"")</f>
        <v/>
      </c>
      <c r="AB14" s="5"/>
      <c r="AC14" s="5"/>
      <c r="AD14" s="39"/>
      <c r="AE14" s="40">
        <f t="shared" si="10"/>
        <v>0</v>
      </c>
      <c r="AF14" s="41" t="str">
        <f t="shared" si="11"/>
        <v/>
      </c>
      <c r="AG14" s="42">
        <f t="shared" si="12"/>
        <v>0</v>
      </c>
      <c r="AH14" s="43">
        <f t="shared" si="13"/>
        <v>0</v>
      </c>
      <c r="AI14" s="45">
        <f>IFERROR(VLOOKUP($E14,technológiák!$B$3:$G$11,6,0),0)</f>
        <v>0</v>
      </c>
      <c r="AJ14" s="4">
        <f>IFERROR(VLOOKUP($E14,technológiák!$B$3:$G$11,5,0),0)</f>
        <v>0</v>
      </c>
      <c r="AK14" s="77"/>
      <c r="AL14" s="72"/>
      <c r="AM14" s="47">
        <f>IF(Z14,((AL14+1)/AK14)-(AL14/AA14),0)*IF(J14,VLOOKUP(C14,telephelyek!$A:$N,14,0),1)</f>
        <v>0</v>
      </c>
      <c r="AN14" s="4" t="b">
        <f>IFERROR(VLOOKUP($E14,technológiák!$B$3:$D$11,3,0),FALSE)</f>
        <v>0</v>
      </c>
      <c r="AO14" s="72"/>
      <c r="AP14" s="72"/>
      <c r="AQ14" s="47">
        <f>+IF($AN14,1/$AP14*IF($J14,VLOOKUP($C14,telephelyek!$A:$N,14,0),1),0)</f>
        <v>0</v>
      </c>
      <c r="AR14" s="47">
        <f>+IF($AN14,(1-1/$AP14)*IF($J14,VLOOKUP($C14,telephelyek!$A:$N,14,0),1),0)</f>
        <v>0</v>
      </c>
      <c r="AS14" s="4">
        <f>IFERROR(VLOOKUP($G14,FUELS!$B$4:$F$19,2,0),0)</f>
        <v>0</v>
      </c>
      <c r="AT14" s="4">
        <f>IFERROR(VLOOKUP($G14,FUELS!$B$4:$F$19,3,0),0)</f>
        <v>0</v>
      </c>
      <c r="AU14" s="4">
        <f>IFERROR(VLOOKUP($G14,FUELS!$B$4:$F$19,4,0),0)</f>
        <v>0</v>
      </c>
      <c r="AV14" s="4">
        <f>IFERROR(VLOOKUP($G14,FUELS!$B$4:$F$19,5,0),0)</f>
        <v>0</v>
      </c>
      <c r="AW14" s="4">
        <f>IFERROR(VLOOKUP($AO14,FUELS!$B$4:$F$19,2,0),0)</f>
        <v>0</v>
      </c>
      <c r="AX14" s="4">
        <f>IFERROR(VLOOKUP($AO14,FUELS!$B$4:$F$19,3,0),0)</f>
        <v>0</v>
      </c>
      <c r="AY14" s="4">
        <f>IFERROR(VLOOKUP($AO14,FUELS!$B$4:$F$19,4,0),0)</f>
        <v>0</v>
      </c>
      <c r="AZ14" s="4">
        <f>IFERROR(VLOOKUP($AO14,FUELS!$B$4:$F$19,5,0),0)</f>
        <v>0</v>
      </c>
    </row>
    <row r="15" spans="1:52">
      <c r="A15">
        <v>13</v>
      </c>
      <c r="B15" s="72" t="s">
        <v>164</v>
      </c>
      <c r="C15" s="72" t="s">
        <v>158</v>
      </c>
      <c r="D15" s="4" t="str">
        <f>IF(C15&lt;&gt;"",VLOOKUP(C15,telephelyek!A:B,2,0),"-")</f>
        <v>MINTA 2</v>
      </c>
      <c r="E15" s="72"/>
      <c r="F15" s="72"/>
      <c r="G15" s="72"/>
      <c r="H15" s="69"/>
      <c r="I15" s="72" t="s">
        <v>52</v>
      </c>
      <c r="J15" s="54"/>
      <c r="K15" s="50">
        <f>IFERROR(IF(J15,CONVERT(H15,I15,"MWh")/VLOOKUP(C15,telephelyek!$A:$N,14,0),CONVERT(H15,I15,"MWh")),0)</f>
        <v>0</v>
      </c>
      <c r="L15" s="57" t="e">
        <f t="shared" si="5"/>
        <v>#DIV/0!</v>
      </c>
      <c r="M15" s="57" t="e">
        <f t="shared" si="6"/>
        <v>#DIV/0!</v>
      </c>
      <c r="N15" s="57" t="e">
        <f t="shared" si="7"/>
        <v>#DIV/0!</v>
      </c>
      <c r="O15" s="57" t="e">
        <f t="shared" si="8"/>
        <v>#DIV/0!</v>
      </c>
      <c r="P15" s="50" t="b">
        <f t="shared" si="2"/>
        <v>1</v>
      </c>
      <c r="Q15" s="72"/>
      <c r="R15" s="64">
        <f t="shared" si="3"/>
        <v>0</v>
      </c>
      <c r="S15" s="72"/>
      <c r="T15" s="82">
        <f t="shared" ref="T15:T32" si="14">IFERROR(VLOOKUP(S15,$B:$AJ,26,0),1)</f>
        <v>1</v>
      </c>
      <c r="U15" s="38"/>
      <c r="V15" s="38"/>
      <c r="W15" s="44">
        <f t="shared" si="9"/>
        <v>1</v>
      </c>
      <c r="X15" s="123"/>
      <c r="Y15" s="67" t="e">
        <f>IF(P15,1/X15*1/T15,0)*IF(J15,VLOOKUP(C15,telephelyek!$A:$N,14,0),1)</f>
        <v>#DIV/0!</v>
      </c>
      <c r="Z15" s="4" t="b">
        <f>IFERROR(VLOOKUP($E15,technológiák!$B$3:$D$11,2,0),FALSE)</f>
        <v>0</v>
      </c>
      <c r="AA15" s="4" t="str">
        <f>IFERROR(VLOOKUP(G15,FUELS!$B$4:$I$19,5+MATCH(F15,FUELS!$G$2:$I$2,1),0),"")</f>
        <v/>
      </c>
      <c r="AB15" s="5"/>
      <c r="AC15" s="5"/>
      <c r="AD15" s="39"/>
      <c r="AE15" s="40">
        <f t="shared" si="10"/>
        <v>0</v>
      </c>
      <c r="AF15" s="41" t="str">
        <f t="shared" si="11"/>
        <v/>
      </c>
      <c r="AG15" s="42">
        <f t="shared" si="12"/>
        <v>0</v>
      </c>
      <c r="AH15" s="43">
        <f t="shared" si="13"/>
        <v>0</v>
      </c>
      <c r="AI15" s="45">
        <f>IFERROR(VLOOKUP($E15,technológiák!$B$3:$G$11,6,0),0)</f>
        <v>0</v>
      </c>
      <c r="AJ15" s="4">
        <f>IFERROR(VLOOKUP($E15,technológiák!$B$3:$G$11,5,0),0)</f>
        <v>0</v>
      </c>
      <c r="AK15" s="77"/>
      <c r="AL15" s="72"/>
      <c r="AM15" s="47">
        <f>IF(Z15,((AL15+1)/AK15)-(AL15/AA15),0)*IF(J15,VLOOKUP(C15,telephelyek!$A:$N,14,0),1)</f>
        <v>0</v>
      </c>
      <c r="AN15" s="4" t="b">
        <f>IFERROR(VLOOKUP($E15,technológiák!$B$3:$D$11,3,0),FALSE)</f>
        <v>0</v>
      </c>
      <c r="AO15" s="72"/>
      <c r="AP15" s="72"/>
      <c r="AQ15" s="47">
        <f>+IF($AN15,1/$AP15*IF($J15,VLOOKUP($C15,telephelyek!$A:$N,14,0),1),0)</f>
        <v>0</v>
      </c>
      <c r="AR15" s="47">
        <f>+IF($AN15,(1-1/$AP15)*IF($J15,VLOOKUP($C15,telephelyek!$A:$N,14,0),1),0)</f>
        <v>0</v>
      </c>
      <c r="AS15" s="4">
        <f>IFERROR(VLOOKUP($G15,FUELS!$B$4:$F$19,2,0),0)</f>
        <v>0</v>
      </c>
      <c r="AT15" s="4">
        <f>IFERROR(VLOOKUP($G15,FUELS!$B$4:$F$19,3,0),0)</f>
        <v>0</v>
      </c>
      <c r="AU15" s="4">
        <f>IFERROR(VLOOKUP($G15,FUELS!$B$4:$F$19,4,0),0)</f>
        <v>0</v>
      </c>
      <c r="AV15" s="4">
        <f>IFERROR(VLOOKUP($G15,FUELS!$B$4:$F$19,5,0),0)</f>
        <v>0</v>
      </c>
      <c r="AW15" s="4">
        <f>IFERROR(VLOOKUP($AO15,FUELS!$B$4:$F$19,2,0),0)</f>
        <v>0</v>
      </c>
      <c r="AX15" s="4">
        <f>IFERROR(VLOOKUP($AO15,FUELS!$B$4:$F$19,3,0),0)</f>
        <v>0</v>
      </c>
      <c r="AY15" s="4">
        <f>IFERROR(VLOOKUP($AO15,FUELS!$B$4:$F$19,4,0),0)</f>
        <v>0</v>
      </c>
      <c r="AZ15" s="4">
        <f>IFERROR(VLOOKUP($AO15,FUELS!$B$4:$F$19,5,0),0)</f>
        <v>0</v>
      </c>
    </row>
    <row r="16" spans="1:52">
      <c r="A16">
        <v>14</v>
      </c>
      <c r="B16" s="72" t="s">
        <v>165</v>
      </c>
      <c r="C16" s="72" t="s">
        <v>158</v>
      </c>
      <c r="D16" s="4" t="str">
        <f>IF(C16&lt;&gt;"",VLOOKUP(C16,telephelyek!A:B,2,0),"-")</f>
        <v>MINTA 2</v>
      </c>
      <c r="E16" s="72"/>
      <c r="F16" s="72"/>
      <c r="G16" s="72"/>
      <c r="H16" s="69"/>
      <c r="I16" s="72" t="s">
        <v>52</v>
      </c>
      <c r="J16" s="54"/>
      <c r="K16" s="50">
        <f>IFERROR(IF(J16,CONVERT(H16,I16,"MWh")/VLOOKUP(C16,telephelyek!$A:$N,14,0),CONVERT(H16,I16,"MWh")),0)</f>
        <v>0</v>
      </c>
      <c r="L16" s="57" t="e">
        <f t="shared" si="5"/>
        <v>#DIV/0!</v>
      </c>
      <c r="M16" s="57" t="e">
        <f t="shared" si="6"/>
        <v>#DIV/0!</v>
      </c>
      <c r="N16" s="57" t="e">
        <f t="shared" si="7"/>
        <v>#DIV/0!</v>
      </c>
      <c r="O16" s="57" t="e">
        <f t="shared" si="8"/>
        <v>#DIV/0!</v>
      </c>
      <c r="P16" s="50" t="b">
        <f t="shared" si="2"/>
        <v>1</v>
      </c>
      <c r="Q16" s="72"/>
      <c r="R16" s="64">
        <f t="shared" si="3"/>
        <v>0</v>
      </c>
      <c r="S16" s="72"/>
      <c r="T16" s="82">
        <f t="shared" si="14"/>
        <v>1</v>
      </c>
      <c r="U16" s="38"/>
      <c r="V16" s="38"/>
      <c r="W16" s="44">
        <f t="shared" si="9"/>
        <v>1</v>
      </c>
      <c r="X16" s="123"/>
      <c r="Y16" s="67" t="e">
        <f>IF(P16,1/X16*1/T16,0)*IF(J16,VLOOKUP(C16,telephelyek!$A:$N,14,0),1)</f>
        <v>#DIV/0!</v>
      </c>
      <c r="Z16" s="4" t="b">
        <f>IFERROR(VLOOKUP($E16,technológiák!$B$3:$D$11,2,0),FALSE)</f>
        <v>0</v>
      </c>
      <c r="AA16" s="4" t="str">
        <f>IFERROR(VLOOKUP(G16,FUELS!$B$4:$I$19,5+MATCH(F16,FUELS!$G$2:$I$2,1),0),"")</f>
        <v/>
      </c>
      <c r="AB16" s="5"/>
      <c r="AC16" s="5"/>
      <c r="AD16" s="39"/>
      <c r="AE16" s="40">
        <f t="shared" si="10"/>
        <v>0</v>
      </c>
      <c r="AF16" s="41" t="str">
        <f t="shared" si="11"/>
        <v/>
      </c>
      <c r="AG16" s="42">
        <f t="shared" si="12"/>
        <v>0</v>
      </c>
      <c r="AH16" s="43">
        <f t="shared" si="13"/>
        <v>0</v>
      </c>
      <c r="AI16" s="45">
        <f>IFERROR(VLOOKUP($E16,technológiák!$B$3:$G$11,6,0),0)</f>
        <v>0</v>
      </c>
      <c r="AJ16" s="4">
        <f>IFERROR(VLOOKUP($E16,technológiák!$B$3:$G$11,5,0),0)</f>
        <v>0</v>
      </c>
      <c r="AK16" s="77">
        <v>0.88400000000000001</v>
      </c>
      <c r="AL16" s="72">
        <v>0.75</v>
      </c>
      <c r="AM16" s="47">
        <f>IF(Z16,((AL16+1)/AK16)-(AL16/AA16),0)*IF(J16,VLOOKUP(C16,telephelyek!$A:$N,14,0),1)</f>
        <v>0</v>
      </c>
      <c r="AN16" s="4" t="b">
        <f>IFERROR(VLOOKUP($E16,technológiák!$B$3:$D$11,3,0),FALSE)</f>
        <v>0</v>
      </c>
      <c r="AO16" s="72"/>
      <c r="AP16" s="72"/>
      <c r="AQ16" s="47">
        <f>+IF($AN16,1/$AP16*IF($J16,VLOOKUP($C16,telephelyek!$A:$N,14,0),1),0)</f>
        <v>0</v>
      </c>
      <c r="AR16" s="47">
        <f>+IF($AN16,(1-1/$AP16)*IF($J16,VLOOKUP($C16,telephelyek!$A:$N,14,0),1),0)</f>
        <v>0</v>
      </c>
      <c r="AS16" s="4">
        <f>IFERROR(VLOOKUP($G16,FUELS!$B$4:$F$19,2,0),0)</f>
        <v>0</v>
      </c>
      <c r="AT16" s="4">
        <f>IFERROR(VLOOKUP($G16,FUELS!$B$4:$F$19,3,0),0)</f>
        <v>0</v>
      </c>
      <c r="AU16" s="4">
        <f>IFERROR(VLOOKUP($G16,FUELS!$B$4:$F$19,4,0),0)</f>
        <v>0</v>
      </c>
      <c r="AV16" s="4">
        <f>IFERROR(VLOOKUP($G16,FUELS!$B$4:$F$19,5,0),0)</f>
        <v>0</v>
      </c>
      <c r="AW16" s="4">
        <f>IFERROR(VLOOKUP($AO16,FUELS!$B$4:$F$19,2,0),0)</f>
        <v>0</v>
      </c>
      <c r="AX16" s="4">
        <f>IFERROR(VLOOKUP($AO16,FUELS!$B$4:$F$19,3,0),0)</f>
        <v>0</v>
      </c>
      <c r="AY16" s="4">
        <f>IFERROR(VLOOKUP($AO16,FUELS!$B$4:$F$19,4,0),0)</f>
        <v>0</v>
      </c>
      <c r="AZ16" s="4">
        <f>IFERROR(VLOOKUP($AO16,FUELS!$B$4:$F$19,5,0),0)</f>
        <v>0</v>
      </c>
    </row>
    <row r="17" spans="1:52">
      <c r="A17">
        <v>15</v>
      </c>
      <c r="B17" s="72" t="s">
        <v>166</v>
      </c>
      <c r="C17" s="72" t="s">
        <v>159</v>
      </c>
      <c r="D17" s="4" t="str">
        <f>IF(C17&lt;&gt;"",VLOOKUP(C17,telephelyek!A:B,2,0),"-")</f>
        <v>MINTA 2</v>
      </c>
      <c r="E17" s="72"/>
      <c r="F17" s="72"/>
      <c r="G17" s="72"/>
      <c r="H17" s="69"/>
      <c r="I17" s="72" t="s">
        <v>52</v>
      </c>
      <c r="J17" s="54"/>
      <c r="K17" s="50">
        <f>IFERROR(IF(J17,CONVERT(H17,I17,"MWh")/VLOOKUP(C17,telephelyek!$A:$N,14,0),CONVERT(H17,I17,"MWh")),0)</f>
        <v>0</v>
      </c>
      <c r="L17" s="57" t="e">
        <f t="shared" si="5"/>
        <v>#DIV/0!</v>
      </c>
      <c r="M17" s="57" t="e">
        <f t="shared" si="6"/>
        <v>#DIV/0!</v>
      </c>
      <c r="N17" s="57" t="e">
        <f t="shared" si="7"/>
        <v>#DIV/0!</v>
      </c>
      <c r="O17" s="57" t="e">
        <f t="shared" si="8"/>
        <v>#DIV/0!</v>
      </c>
      <c r="P17" s="50" t="b">
        <f t="shared" si="2"/>
        <v>1</v>
      </c>
      <c r="Q17" s="72"/>
      <c r="R17" s="64">
        <f t="shared" si="3"/>
        <v>0</v>
      </c>
      <c r="S17" s="72"/>
      <c r="T17" s="82">
        <f t="shared" si="14"/>
        <v>1</v>
      </c>
      <c r="U17" s="38"/>
      <c r="V17" s="38"/>
      <c r="W17" s="44">
        <f t="shared" si="9"/>
        <v>1</v>
      </c>
      <c r="X17" s="123"/>
      <c r="Y17" s="67" t="e">
        <f>IF(P17,1/X17*1/T17,0)*IF(J17,VLOOKUP(C17,telephelyek!$A:$N,14,0),1)</f>
        <v>#DIV/0!</v>
      </c>
      <c r="Z17" s="4" t="b">
        <f>IFERROR(VLOOKUP($E17,technológiák!$B$3:$D$11,2,0),FALSE)</f>
        <v>0</v>
      </c>
      <c r="AA17" s="4" t="str">
        <f>IFERROR(VLOOKUP(G17,FUELS!$B$4:$I$19,5+MATCH(F17,FUELS!$G$2:$I$2,1),0),"")</f>
        <v/>
      </c>
      <c r="AB17" s="5"/>
      <c r="AC17" s="5"/>
      <c r="AD17" s="39"/>
      <c r="AE17" s="40">
        <f t="shared" si="10"/>
        <v>0</v>
      </c>
      <c r="AF17" s="41" t="str">
        <f t="shared" si="11"/>
        <v/>
      </c>
      <c r="AG17" s="42">
        <f t="shared" si="12"/>
        <v>0</v>
      </c>
      <c r="AH17" s="43">
        <f t="shared" si="13"/>
        <v>0</v>
      </c>
      <c r="AI17" s="45">
        <f>IFERROR(VLOOKUP($E17,technológiák!$B$3:$G$11,6,0),0)</f>
        <v>0</v>
      </c>
      <c r="AJ17" s="4">
        <f>IFERROR(VLOOKUP($E17,technológiák!$B$3:$G$11,5,0),0)</f>
        <v>0</v>
      </c>
      <c r="AK17" s="77">
        <v>0.8145</v>
      </c>
      <c r="AL17" s="72">
        <v>0.75</v>
      </c>
      <c r="AM17" s="47">
        <f>IF(Z17,((AL17+1)/AK17)-(AL17/AA17),0)*IF(J17,VLOOKUP(C17,telephelyek!$A:$N,14,0),1)</f>
        <v>0</v>
      </c>
      <c r="AN17" s="4" t="b">
        <f>IFERROR(VLOOKUP($E17,technológiák!$B$3:$D$11,3,0),FALSE)</f>
        <v>0</v>
      </c>
      <c r="AO17" s="72"/>
      <c r="AP17" s="72"/>
      <c r="AQ17" s="47">
        <f>+IF($AN17,1/$AP17*IF($J17,VLOOKUP($C17,telephelyek!$A:$N,14,0),1),0)</f>
        <v>0</v>
      </c>
      <c r="AR17" s="47">
        <f>+IF($AN17,(1-1/$AP17)*IF($J17,VLOOKUP($C17,telephelyek!$A:$N,14,0),1),0)</f>
        <v>0</v>
      </c>
      <c r="AS17" s="4">
        <f>IFERROR(VLOOKUP($G17,FUELS!$B$4:$F$19,2,0),0)</f>
        <v>0</v>
      </c>
      <c r="AT17" s="4">
        <f>IFERROR(VLOOKUP($G17,FUELS!$B$4:$F$19,3,0),0)</f>
        <v>0</v>
      </c>
      <c r="AU17" s="4">
        <f>IFERROR(VLOOKUP($G17,FUELS!$B$4:$F$19,4,0),0)</f>
        <v>0</v>
      </c>
      <c r="AV17" s="4">
        <f>IFERROR(VLOOKUP($G17,FUELS!$B$4:$F$19,5,0),0)</f>
        <v>0</v>
      </c>
      <c r="AW17" s="4">
        <f>IFERROR(VLOOKUP($AO17,FUELS!$B$4:$F$19,2,0),0)</f>
        <v>0</v>
      </c>
      <c r="AX17" s="4">
        <f>IFERROR(VLOOKUP($AO17,FUELS!$B$4:$F$19,3,0),0)</f>
        <v>0</v>
      </c>
      <c r="AY17" s="4">
        <f>IFERROR(VLOOKUP($AO17,FUELS!$B$4:$F$19,4,0),0)</f>
        <v>0</v>
      </c>
      <c r="AZ17" s="4">
        <f>IFERROR(VLOOKUP($AO17,FUELS!$B$4:$F$19,5,0),0)</f>
        <v>0</v>
      </c>
    </row>
    <row r="18" spans="1:52">
      <c r="A18">
        <v>16</v>
      </c>
      <c r="B18" s="72"/>
      <c r="C18" s="72"/>
      <c r="D18" s="4" t="str">
        <f>IF(C18&lt;&gt;"",VLOOKUP(C18,telephelyek!A:B,2,0),"-")</f>
        <v>-</v>
      </c>
      <c r="E18" s="72"/>
      <c r="F18" s="72"/>
      <c r="G18" s="72"/>
      <c r="H18" s="69"/>
      <c r="I18" s="72" t="s">
        <v>52</v>
      </c>
      <c r="J18" s="54"/>
      <c r="K18" s="50">
        <f>IFERROR(IF(J18,CONVERT(H18,I18,"MWh")/VLOOKUP(C18,telephelyek!$A:$N,14,0),CONVERT(H18,I18,"MWh")),0)</f>
        <v>0</v>
      </c>
      <c r="L18" s="57">
        <f t="shared" si="5"/>
        <v>0</v>
      </c>
      <c r="M18" s="57">
        <f t="shared" si="6"/>
        <v>0</v>
      </c>
      <c r="N18" s="57">
        <f t="shared" si="7"/>
        <v>0</v>
      </c>
      <c r="O18" s="57">
        <f t="shared" si="8"/>
        <v>0</v>
      </c>
      <c r="P18" s="50" t="b">
        <f t="shared" si="2"/>
        <v>0</v>
      </c>
      <c r="Q18" s="72"/>
      <c r="R18" s="64">
        <f t="shared" si="3"/>
        <v>0</v>
      </c>
      <c r="S18" s="72"/>
      <c r="T18" s="82">
        <f t="shared" si="14"/>
        <v>1</v>
      </c>
      <c r="U18" s="38"/>
      <c r="V18" s="38"/>
      <c r="W18" s="44">
        <f t="shared" si="9"/>
        <v>1</v>
      </c>
      <c r="X18" s="123"/>
      <c r="Y18" s="67">
        <f>IF(P18,1/X18*1/T18,0)*IF(J18,VLOOKUP(C18,telephelyek!$A:$N,14,0),1)</f>
        <v>0</v>
      </c>
      <c r="Z18" s="4" t="b">
        <f>IFERROR(VLOOKUP($E18,technológiák!$B$3:$D$11,2,0),FALSE)</f>
        <v>0</v>
      </c>
      <c r="AA18" s="4" t="str">
        <f>IFERROR(VLOOKUP(G18,FUELS!$B$4:$I$19,5+MATCH(F18,FUELS!$G$2:$I$2,1),0),"")</f>
        <v/>
      </c>
      <c r="AB18" s="5"/>
      <c r="AC18" s="5"/>
      <c r="AD18" s="39"/>
      <c r="AE18" s="40">
        <f t="shared" si="10"/>
        <v>0</v>
      </c>
      <c r="AF18" s="41" t="str">
        <f t="shared" si="11"/>
        <v/>
      </c>
      <c r="AG18" s="42">
        <f t="shared" si="12"/>
        <v>0</v>
      </c>
      <c r="AH18" s="43">
        <f t="shared" si="13"/>
        <v>0</v>
      </c>
      <c r="AI18" s="45">
        <f>IFERROR(VLOOKUP($E18,technológiák!$B$3:$G$11,6,0),0)</f>
        <v>0</v>
      </c>
      <c r="AJ18" s="4">
        <f>IFERROR(VLOOKUP($E18,technológiák!$B$3:$G$11,5,0),0)</f>
        <v>0</v>
      </c>
      <c r="AK18" s="77">
        <v>0.83</v>
      </c>
      <c r="AL18" s="72">
        <v>0.95</v>
      </c>
      <c r="AM18" s="47">
        <f>IF(Z18,((AL18+1)/AK18)-(AL18/AA18),0)*IF(J18,VLOOKUP(C18,telephelyek!$A:$N,14,0),1)</f>
        <v>0</v>
      </c>
      <c r="AN18" s="4" t="b">
        <f>IFERROR(VLOOKUP($E18,technológiák!$B$3:$D$11,3,0),FALSE)</f>
        <v>0</v>
      </c>
      <c r="AO18" s="72"/>
      <c r="AP18" s="72"/>
      <c r="AQ18" s="47">
        <f>+IF($AN18,1/$AP18*IF($J18,VLOOKUP($C18,telephelyek!$A:$N,14,0),1),0)</f>
        <v>0</v>
      </c>
      <c r="AR18" s="47">
        <f>+IF($AN18,(1-1/$AP18)*IF($J18,VLOOKUP($C18,telephelyek!$A:$N,14,0),1),0)</f>
        <v>0</v>
      </c>
      <c r="AS18" s="4">
        <f>IFERROR(VLOOKUP($G18,FUELS!$B$4:$F$19,2,0),0)</f>
        <v>0</v>
      </c>
      <c r="AT18" s="4">
        <f>IFERROR(VLOOKUP($G18,FUELS!$B$4:$F$19,3,0),0)</f>
        <v>0</v>
      </c>
      <c r="AU18" s="4">
        <f>IFERROR(VLOOKUP($G18,FUELS!$B$4:$F$19,4,0),0)</f>
        <v>0</v>
      </c>
      <c r="AV18" s="4">
        <f>IFERROR(VLOOKUP($G18,FUELS!$B$4:$F$19,5,0),0)</f>
        <v>0</v>
      </c>
      <c r="AW18" s="4">
        <f>IFERROR(VLOOKUP($AO18,FUELS!$B$4:$F$19,2,0),0)</f>
        <v>0</v>
      </c>
      <c r="AX18" s="4">
        <f>IFERROR(VLOOKUP($AO18,FUELS!$B$4:$F$19,3,0),0)</f>
        <v>0</v>
      </c>
      <c r="AY18" s="4">
        <f>IFERROR(VLOOKUP($AO18,FUELS!$B$4:$F$19,4,0),0)</f>
        <v>0</v>
      </c>
      <c r="AZ18" s="4">
        <f>IFERROR(VLOOKUP($AO18,FUELS!$B$4:$F$19,5,0),0)</f>
        <v>0</v>
      </c>
    </row>
    <row r="19" spans="1:52">
      <c r="A19">
        <v>17</v>
      </c>
      <c r="B19" s="72"/>
      <c r="C19" s="72"/>
      <c r="D19" s="4" t="str">
        <f>IF(C19&lt;&gt;"",VLOOKUP(C19,telephelyek!A:B,2,0),"-")</f>
        <v>-</v>
      </c>
      <c r="E19" s="72"/>
      <c r="F19" s="72"/>
      <c r="G19" s="72"/>
      <c r="H19" s="69"/>
      <c r="I19" s="72" t="s">
        <v>52</v>
      </c>
      <c r="J19" s="54"/>
      <c r="K19" s="50">
        <f>IFERROR(IF(J19,CONVERT(H19,I19,"MWh")/VLOOKUP(C19,telephelyek!$A:$N,14,0),CONVERT(H19,I19,"MWh")),0)</f>
        <v>0</v>
      </c>
      <c r="L19" s="57">
        <f t="shared" si="5"/>
        <v>0</v>
      </c>
      <c r="M19" s="57">
        <f t="shared" si="6"/>
        <v>0</v>
      </c>
      <c r="N19" s="57">
        <f t="shared" si="7"/>
        <v>0</v>
      </c>
      <c r="O19" s="57">
        <f t="shared" si="8"/>
        <v>0</v>
      </c>
      <c r="P19" s="50" t="b">
        <f t="shared" si="2"/>
        <v>0</v>
      </c>
      <c r="Q19" s="72" t="s">
        <v>90</v>
      </c>
      <c r="R19" s="64">
        <f t="shared" si="3"/>
        <v>0</v>
      </c>
      <c r="S19" s="72"/>
      <c r="T19" s="82">
        <f t="shared" si="14"/>
        <v>1</v>
      </c>
      <c r="U19" s="38"/>
      <c r="V19" s="38"/>
      <c r="W19" s="44">
        <f t="shared" si="9"/>
        <v>1</v>
      </c>
      <c r="X19" s="123">
        <v>0.89</v>
      </c>
      <c r="Y19" s="67">
        <f>IF(P19,1/X19*1/T19,0)*IF(J19,VLOOKUP(C19,telephelyek!$A:$N,14,0),1)</f>
        <v>0</v>
      </c>
      <c r="Z19" s="4" t="b">
        <f>IFERROR(VLOOKUP($E19,technológiák!$B$3:$D$11,2,0),FALSE)</f>
        <v>0</v>
      </c>
      <c r="AA19" s="4" t="str">
        <f>IFERROR(VLOOKUP(G19,FUELS!$B$4:$I$19,5+MATCH(F19,FUELS!$G$2:$I$2,1),0),"")</f>
        <v/>
      </c>
      <c r="AB19" s="5"/>
      <c r="AC19" s="5"/>
      <c r="AD19" s="39"/>
      <c r="AE19" s="40">
        <f t="shared" si="10"/>
        <v>0</v>
      </c>
      <c r="AF19" s="41" t="str">
        <f t="shared" si="11"/>
        <v/>
      </c>
      <c r="AG19" s="42">
        <f t="shared" si="12"/>
        <v>0</v>
      </c>
      <c r="AH19" s="43">
        <f t="shared" si="13"/>
        <v>0</v>
      </c>
      <c r="AI19" s="45">
        <f>IFERROR(VLOOKUP($E19,technológiák!$B$3:$G$11,6,0),0)</f>
        <v>0</v>
      </c>
      <c r="AJ19" s="4">
        <f>IFERROR(VLOOKUP($E19,technológiák!$B$3:$G$11,5,0),0)</f>
        <v>0</v>
      </c>
      <c r="AK19" s="77"/>
      <c r="AL19" s="72"/>
      <c r="AM19" s="47">
        <f>IF(Z19,((AL19+1)/AK19)-(AL19/AA19),0)*IF(J19,VLOOKUP(C19,telephelyek!$A:$N,14,0),1)</f>
        <v>0</v>
      </c>
      <c r="AN19" s="4" t="b">
        <f>IFERROR(VLOOKUP($E19,technológiák!$B$3:$D$11,3,0),FALSE)</f>
        <v>0</v>
      </c>
      <c r="AO19" s="72"/>
      <c r="AP19" s="72"/>
      <c r="AQ19" s="47">
        <f>+IF($AN19,1/$AP19*IF($J19,VLOOKUP($C19,telephelyek!$A:$N,14,0),1),0)</f>
        <v>0</v>
      </c>
      <c r="AR19" s="47">
        <f>+IF($AN19,(1-1/$AP19)*IF($J19,VLOOKUP($C19,telephelyek!$A:$N,14,0),1),0)</f>
        <v>0</v>
      </c>
      <c r="AS19" s="4">
        <f>IFERROR(VLOOKUP($G19,FUELS!$B$4:$F$19,2,0),0)</f>
        <v>0</v>
      </c>
      <c r="AT19" s="4">
        <f>IFERROR(VLOOKUP($G19,FUELS!$B$4:$F$19,3,0),0)</f>
        <v>0</v>
      </c>
      <c r="AU19" s="4">
        <f>IFERROR(VLOOKUP($G19,FUELS!$B$4:$F$19,4,0),0)</f>
        <v>0</v>
      </c>
      <c r="AV19" s="4">
        <f>IFERROR(VLOOKUP($G19,FUELS!$B$4:$F$19,5,0),0)</f>
        <v>0</v>
      </c>
      <c r="AW19" s="4">
        <f>IFERROR(VLOOKUP($AO19,FUELS!$B$4:$F$19,2,0),0)</f>
        <v>0</v>
      </c>
      <c r="AX19" s="4">
        <f>IFERROR(VLOOKUP($AO19,FUELS!$B$4:$F$19,3,0),0)</f>
        <v>0</v>
      </c>
      <c r="AY19" s="4">
        <f>IFERROR(VLOOKUP($AO19,FUELS!$B$4:$F$19,4,0),0)</f>
        <v>0</v>
      </c>
      <c r="AZ19" s="4">
        <f>IFERROR(VLOOKUP($AO19,FUELS!$B$4:$F$19,5,0),0)</f>
        <v>0</v>
      </c>
    </row>
    <row r="20" spans="1:52">
      <c r="A20">
        <v>18</v>
      </c>
      <c r="B20" s="72"/>
      <c r="C20" s="72"/>
      <c r="D20" s="4" t="str">
        <f>IF(C20&lt;&gt;"",VLOOKUP(C20,telephelyek!A:B,2,0),"-")</f>
        <v>-</v>
      </c>
      <c r="E20" s="72"/>
      <c r="F20" s="72"/>
      <c r="G20" s="72"/>
      <c r="H20" s="109"/>
      <c r="I20" s="72" t="s">
        <v>52</v>
      </c>
      <c r="J20" s="54"/>
      <c r="K20" s="50">
        <f>IFERROR(IF(J20,CONVERT(H20,I20,"MWh")/VLOOKUP(C20,telephelyek!$A:$N,14,0),CONVERT(H20,I20,"MWh")),0)</f>
        <v>0</v>
      </c>
      <c r="L20" s="57">
        <f t="shared" si="5"/>
        <v>0</v>
      </c>
      <c r="M20" s="57">
        <f t="shared" si="6"/>
        <v>0</v>
      </c>
      <c r="N20" s="57">
        <f t="shared" si="7"/>
        <v>0</v>
      </c>
      <c r="O20" s="57">
        <f t="shared" si="8"/>
        <v>0</v>
      </c>
      <c r="P20" s="50" t="b">
        <f t="shared" si="2"/>
        <v>0</v>
      </c>
      <c r="Q20" s="72" t="s">
        <v>90</v>
      </c>
      <c r="R20" s="64">
        <f t="shared" si="3"/>
        <v>0</v>
      </c>
      <c r="S20" s="72"/>
      <c r="T20" s="82">
        <f t="shared" si="14"/>
        <v>1</v>
      </c>
      <c r="U20" s="38"/>
      <c r="V20" s="38"/>
      <c r="W20" s="44">
        <f t="shared" si="9"/>
        <v>1</v>
      </c>
      <c r="X20" s="123"/>
      <c r="Y20" s="67">
        <f>IF(P20,1/X20*1/T20,0)*IF(J20,VLOOKUP(C20,telephelyek!$A:$N,14,0),1)</f>
        <v>0</v>
      </c>
      <c r="Z20" s="4" t="b">
        <f>IFERROR(VLOOKUP($E20,technológiák!$B$3:$D$11,2,0),FALSE)</f>
        <v>0</v>
      </c>
      <c r="AA20" s="4" t="str">
        <f>IFERROR(VLOOKUP(G20,FUELS!$B$4:$I$19,5+MATCH(F20,FUELS!$G$2:$I$2,1),0),"")</f>
        <v/>
      </c>
      <c r="AB20" s="5"/>
      <c r="AC20" s="5"/>
      <c r="AD20" s="39"/>
      <c r="AE20" s="40">
        <f t="shared" si="10"/>
        <v>0</v>
      </c>
      <c r="AF20" s="41" t="str">
        <f t="shared" si="11"/>
        <v/>
      </c>
      <c r="AG20" s="42">
        <f t="shared" si="12"/>
        <v>0</v>
      </c>
      <c r="AH20" s="43">
        <f t="shared" si="13"/>
        <v>0</v>
      </c>
      <c r="AI20" s="45">
        <f>IFERROR(VLOOKUP($E20,technológiák!$B$3:$G$11,6,0),0)</f>
        <v>0</v>
      </c>
      <c r="AJ20" s="4">
        <f>IFERROR(VLOOKUP($E20,technológiák!$B$3:$G$11,5,0),0)</f>
        <v>0</v>
      </c>
      <c r="AK20" s="77">
        <v>0.88400000000000001</v>
      </c>
      <c r="AL20" s="72">
        <v>0.75</v>
      </c>
      <c r="AM20" s="47">
        <f>IF(Z20,((AL20+1)/AK20)-(AL20/AA20),0)*IF(J20,VLOOKUP(C20,telephelyek!$A:$N,14,0),1)</f>
        <v>0</v>
      </c>
      <c r="AN20" s="4" t="b">
        <f>IFERROR(VLOOKUP($E20,technológiák!$B$3:$D$11,3,0),FALSE)</f>
        <v>0</v>
      </c>
      <c r="AO20" s="72"/>
      <c r="AP20" s="72"/>
      <c r="AQ20" s="47">
        <f>+IF($AN20,1/$AP20*IF($J20,VLOOKUP($C20,telephelyek!$A:$N,14,0),1),0)</f>
        <v>0</v>
      </c>
      <c r="AR20" s="47">
        <f>+IF($AN20,(1-1/$AP20)*IF($J20,VLOOKUP($C20,telephelyek!$A:$N,14,0),1),0)</f>
        <v>0</v>
      </c>
      <c r="AS20" s="4">
        <f>IFERROR(VLOOKUP($G20,FUELS!$B$4:$F$19,2,0),0)</f>
        <v>0</v>
      </c>
      <c r="AT20" s="4">
        <f>IFERROR(VLOOKUP($G20,FUELS!$B$4:$F$19,3,0),0)</f>
        <v>0</v>
      </c>
      <c r="AU20" s="4">
        <f>IFERROR(VLOOKUP($G20,FUELS!$B$4:$F$19,4,0),0)</f>
        <v>0</v>
      </c>
      <c r="AV20" s="4">
        <f>IFERROR(VLOOKUP($G20,FUELS!$B$4:$F$19,5,0),0)</f>
        <v>0</v>
      </c>
      <c r="AW20" s="4">
        <f>IFERROR(VLOOKUP($AO20,FUELS!$B$4:$F$19,2,0),0)</f>
        <v>0</v>
      </c>
      <c r="AX20" s="4">
        <f>IFERROR(VLOOKUP($AO20,FUELS!$B$4:$F$19,3,0),0)</f>
        <v>0</v>
      </c>
      <c r="AY20" s="4">
        <f>IFERROR(VLOOKUP($AO20,FUELS!$B$4:$F$19,4,0),0)</f>
        <v>0</v>
      </c>
      <c r="AZ20" s="4">
        <f>IFERROR(VLOOKUP($AO20,FUELS!$B$4:$F$19,5,0),0)</f>
        <v>0</v>
      </c>
    </row>
    <row r="21" spans="1:52">
      <c r="A21">
        <v>19</v>
      </c>
      <c r="B21" s="72"/>
      <c r="C21" s="72"/>
      <c r="D21" s="4" t="str">
        <f>IF(C21&lt;&gt;"",VLOOKUP(C21,telephelyek!A:B,2,0),"-")</f>
        <v>-</v>
      </c>
      <c r="E21" s="72"/>
      <c r="F21" s="72"/>
      <c r="G21" s="72"/>
      <c r="H21" s="69"/>
      <c r="I21" s="72" t="s">
        <v>52</v>
      </c>
      <c r="J21" s="54"/>
      <c r="K21" s="50">
        <f>IFERROR(IF(J21,CONVERT(H21,I21,"MWh")/VLOOKUP(C21,telephelyek!$A:$N,14,0),CONVERT(H21,I21,"MWh")),0)</f>
        <v>0</v>
      </c>
      <c r="L21" s="57">
        <f t="shared" si="5"/>
        <v>0</v>
      </c>
      <c r="M21" s="57">
        <f t="shared" si="6"/>
        <v>0</v>
      </c>
      <c r="N21" s="57">
        <f t="shared" si="7"/>
        <v>0</v>
      </c>
      <c r="O21" s="57">
        <f t="shared" si="8"/>
        <v>0</v>
      </c>
      <c r="P21" s="50" t="b">
        <f t="shared" si="2"/>
        <v>0</v>
      </c>
      <c r="Q21" s="72"/>
      <c r="R21" s="64">
        <f t="shared" si="3"/>
        <v>0</v>
      </c>
      <c r="S21" s="72"/>
      <c r="T21" s="82">
        <f t="shared" si="14"/>
        <v>1</v>
      </c>
      <c r="U21" s="38"/>
      <c r="V21" s="38"/>
      <c r="W21" s="44">
        <f t="shared" si="9"/>
        <v>1</v>
      </c>
      <c r="X21" s="123">
        <v>0.96</v>
      </c>
      <c r="Y21" s="67">
        <f>IF(P21,1/X21*1/T21,0)*IF(J21,VLOOKUP(C21,telephelyek!$A:$N,14,0),1)</f>
        <v>0</v>
      </c>
      <c r="Z21" s="4" t="b">
        <f>IFERROR(VLOOKUP($E21,technológiák!$B$3:$D$11,2,0),FALSE)</f>
        <v>0</v>
      </c>
      <c r="AA21" s="4" t="str">
        <f>IFERROR(VLOOKUP(G21,FUELS!$B$4:$I$19,5+MATCH(F21,FUELS!$G$2:$I$2,1),0),"")</f>
        <v/>
      </c>
      <c r="AB21" s="5"/>
      <c r="AC21" s="5"/>
      <c r="AD21" s="39"/>
      <c r="AE21" s="40">
        <f t="shared" si="10"/>
        <v>0</v>
      </c>
      <c r="AF21" s="41" t="str">
        <f t="shared" si="11"/>
        <v/>
      </c>
      <c r="AG21" s="42">
        <f t="shared" si="12"/>
        <v>0</v>
      </c>
      <c r="AH21" s="43">
        <f t="shared" si="13"/>
        <v>0</v>
      </c>
      <c r="AI21" s="45">
        <f>IFERROR(VLOOKUP($E21,technológiák!$B$3:$G$11,6,0),0)</f>
        <v>0</v>
      </c>
      <c r="AJ21" s="4">
        <f>IFERROR(VLOOKUP($E21,technológiák!$B$3:$G$11,5,0),0)</f>
        <v>0</v>
      </c>
      <c r="AK21" s="77"/>
      <c r="AL21" s="72"/>
      <c r="AM21" s="47">
        <f>IF(Z21,((AL21+1)/AK21)-(AL21/AA21),0)*IF(J21,VLOOKUP(C21,telephelyek!$A:$N,14,0),1)</f>
        <v>0</v>
      </c>
      <c r="AN21" s="4" t="b">
        <f>IFERROR(VLOOKUP($E21,technológiák!$B$3:$D$11,3,0),FALSE)</f>
        <v>0</v>
      </c>
      <c r="AO21" s="72"/>
      <c r="AP21" s="72"/>
      <c r="AQ21" s="47">
        <f>+IF($AN21,1/$AP21*IF($J21,VLOOKUP($C21,telephelyek!$A:$N,14,0),1),0)</f>
        <v>0</v>
      </c>
      <c r="AR21" s="47">
        <f>+IF($AN21,(1-1/$AP21)*IF($J21,VLOOKUP($C21,telephelyek!$A:$N,14,0),1),0)</f>
        <v>0</v>
      </c>
      <c r="AS21" s="4">
        <f>IFERROR(VLOOKUP($G21,FUELS!$B$4:$F$19,2,0),0)</f>
        <v>0</v>
      </c>
      <c r="AT21" s="4">
        <f>IFERROR(VLOOKUP($G21,FUELS!$B$4:$F$19,3,0),0)</f>
        <v>0</v>
      </c>
      <c r="AU21" s="4">
        <f>IFERROR(VLOOKUP($G21,FUELS!$B$4:$F$19,4,0),0)</f>
        <v>0</v>
      </c>
      <c r="AV21" s="4">
        <f>IFERROR(VLOOKUP($G21,FUELS!$B$4:$F$19,5,0),0)</f>
        <v>0</v>
      </c>
      <c r="AW21" s="4">
        <f>IFERROR(VLOOKUP($AO21,FUELS!$B$4:$F$19,2,0),0)</f>
        <v>0</v>
      </c>
      <c r="AX21" s="4">
        <f>IFERROR(VLOOKUP($AO21,FUELS!$B$4:$F$19,3,0),0)</f>
        <v>0</v>
      </c>
      <c r="AY21" s="4">
        <f>IFERROR(VLOOKUP($AO21,FUELS!$B$4:$F$19,4,0),0)</f>
        <v>0</v>
      </c>
      <c r="AZ21" s="4">
        <f>IFERROR(VLOOKUP($AO21,FUELS!$B$4:$F$19,5,0),0)</f>
        <v>0</v>
      </c>
    </row>
    <row r="22" spans="1:52">
      <c r="A22">
        <v>20</v>
      </c>
      <c r="B22" s="72"/>
      <c r="C22" s="72"/>
      <c r="D22" s="4" t="str">
        <f>IF(C22&lt;&gt;"",VLOOKUP(C22,telephelyek!A:B,2,0),"-")</f>
        <v>-</v>
      </c>
      <c r="E22" s="72"/>
      <c r="F22" s="72"/>
      <c r="G22" s="72"/>
      <c r="H22" s="69"/>
      <c r="I22" s="72" t="s">
        <v>52</v>
      </c>
      <c r="J22" s="54"/>
      <c r="K22" s="50">
        <f>IFERROR(IF(J22,CONVERT(H22,I22,"MWh")/VLOOKUP(C22,telephelyek!$A:$N,14,0),CONVERT(H22,I22,"MWh")),0)</f>
        <v>0</v>
      </c>
      <c r="L22" s="57">
        <f t="shared" si="5"/>
        <v>0</v>
      </c>
      <c r="M22" s="57">
        <f t="shared" si="6"/>
        <v>0</v>
      </c>
      <c r="N22" s="57">
        <f t="shared" si="7"/>
        <v>0</v>
      </c>
      <c r="O22" s="57">
        <f t="shared" si="8"/>
        <v>0</v>
      </c>
      <c r="P22" s="50" t="b">
        <f t="shared" si="2"/>
        <v>0</v>
      </c>
      <c r="Q22" s="72"/>
      <c r="R22" s="64">
        <f t="shared" si="3"/>
        <v>0</v>
      </c>
      <c r="S22" s="72"/>
      <c r="T22" s="82">
        <f t="shared" si="14"/>
        <v>1</v>
      </c>
      <c r="U22" s="38"/>
      <c r="V22" s="38"/>
      <c r="W22" s="44">
        <f t="shared" si="9"/>
        <v>1</v>
      </c>
      <c r="X22" s="123"/>
      <c r="Y22" s="67">
        <f>IF(P22,1/X22*1/T22,0)*IF(J22,VLOOKUP(C22,telephelyek!$A:$N,14,0),1)</f>
        <v>0</v>
      </c>
      <c r="Z22" s="4" t="b">
        <f>IFERROR(VLOOKUP($E22,technológiák!$B$3:$D$11,2,0),FALSE)</f>
        <v>0</v>
      </c>
      <c r="AA22" s="4" t="str">
        <f>IFERROR(VLOOKUP(G22,FUELS!$B$4:$I$19,5+MATCH(F22,FUELS!$G$2:$I$2,1),0),"")</f>
        <v/>
      </c>
      <c r="AB22" s="5"/>
      <c r="AC22" s="5"/>
      <c r="AD22" s="39"/>
      <c r="AE22" s="40">
        <f t="shared" si="10"/>
        <v>0</v>
      </c>
      <c r="AF22" s="41" t="str">
        <f t="shared" si="11"/>
        <v/>
      </c>
      <c r="AG22" s="42">
        <f t="shared" si="12"/>
        <v>0</v>
      </c>
      <c r="AH22" s="43">
        <f t="shared" si="13"/>
        <v>0</v>
      </c>
      <c r="AI22" s="45">
        <f>IFERROR(VLOOKUP($E22,technológiák!$B$3:$G$11,6,0),0)</f>
        <v>0</v>
      </c>
      <c r="AJ22" s="4">
        <f>IFERROR(VLOOKUP($E22,technológiák!$B$3:$G$11,5,0),0)</f>
        <v>0</v>
      </c>
      <c r="AK22" s="77">
        <v>0.88400000000000001</v>
      </c>
      <c r="AL22" s="72">
        <v>0.75</v>
      </c>
      <c r="AM22" s="47">
        <f>IF(Z22,((AL22+1)/AK22)-(AL22/AA22),0)*IF(J22,VLOOKUP(C22,telephelyek!$A:$N,14,0),1)</f>
        <v>0</v>
      </c>
      <c r="AN22" s="4" t="b">
        <f>IFERROR(VLOOKUP($E22,technológiák!$B$3:$D$11,3,0),FALSE)</f>
        <v>0</v>
      </c>
      <c r="AO22" s="72"/>
      <c r="AP22" s="72"/>
      <c r="AQ22" s="47">
        <f>+IF($AN22,1/$AP22*IF($J22,VLOOKUP($C22,telephelyek!$A:$N,14,0),1),0)</f>
        <v>0</v>
      </c>
      <c r="AR22" s="47">
        <f>+IF($AN22,(1-1/$AP22)*IF($J22,VLOOKUP($C22,telephelyek!$A:$N,14,0),1),0)</f>
        <v>0</v>
      </c>
      <c r="AS22" s="4">
        <f>IFERROR(VLOOKUP($G22,FUELS!$B$4:$F$19,2,0),0)</f>
        <v>0</v>
      </c>
      <c r="AT22" s="4">
        <f>IFERROR(VLOOKUP($G22,FUELS!$B$4:$F$19,3,0),0)</f>
        <v>0</v>
      </c>
      <c r="AU22" s="4">
        <f>IFERROR(VLOOKUP($G22,FUELS!$B$4:$F$19,4,0),0)</f>
        <v>0</v>
      </c>
      <c r="AV22" s="4">
        <f>IFERROR(VLOOKUP($G22,FUELS!$B$4:$F$19,5,0),0)</f>
        <v>0</v>
      </c>
      <c r="AW22" s="4">
        <f>IFERROR(VLOOKUP($AO22,FUELS!$B$4:$F$19,2,0),0)</f>
        <v>0</v>
      </c>
      <c r="AX22" s="4">
        <f>IFERROR(VLOOKUP($AO22,FUELS!$B$4:$F$19,3,0),0)</f>
        <v>0</v>
      </c>
      <c r="AY22" s="4">
        <f>IFERROR(VLOOKUP($AO22,FUELS!$B$4:$F$19,4,0),0)</f>
        <v>0</v>
      </c>
      <c r="AZ22" s="4">
        <f>IFERROR(VLOOKUP($AO22,FUELS!$B$4:$F$19,5,0),0)</f>
        <v>0</v>
      </c>
    </row>
    <row r="23" spans="1:52">
      <c r="A23">
        <v>21</v>
      </c>
      <c r="B23" s="72"/>
      <c r="C23" s="72"/>
      <c r="D23" s="4" t="str">
        <f>IF(C23&lt;&gt;"",VLOOKUP(C23,telephelyek!A:B,2,0),"-")</f>
        <v>-</v>
      </c>
      <c r="E23" s="72"/>
      <c r="F23" s="72"/>
      <c r="G23" s="72"/>
      <c r="H23" s="69"/>
      <c r="I23" s="72" t="s">
        <v>52</v>
      </c>
      <c r="J23" s="54"/>
      <c r="K23" s="50">
        <f>IFERROR(IF(J23,CONVERT(H23,I23,"MWh")/VLOOKUP(C23,telephelyek!$A:$N,14,0),CONVERT(H23,I23,"MWh")),0)</f>
        <v>0</v>
      </c>
      <c r="L23" s="57">
        <f t="shared" si="5"/>
        <v>0</v>
      </c>
      <c r="M23" s="57">
        <f t="shared" si="6"/>
        <v>0</v>
      </c>
      <c r="N23" s="57">
        <f t="shared" si="7"/>
        <v>0</v>
      </c>
      <c r="O23" s="57">
        <f t="shared" si="8"/>
        <v>0</v>
      </c>
      <c r="P23" s="50" t="b">
        <f t="shared" si="2"/>
        <v>0</v>
      </c>
      <c r="Q23" s="72"/>
      <c r="R23" s="64">
        <f t="shared" si="3"/>
        <v>0</v>
      </c>
      <c r="S23" s="72"/>
      <c r="T23" s="82">
        <f t="shared" si="14"/>
        <v>1</v>
      </c>
      <c r="U23" s="38"/>
      <c r="V23" s="38"/>
      <c r="W23" s="44">
        <f t="shared" si="9"/>
        <v>1</v>
      </c>
      <c r="X23" s="123"/>
      <c r="Y23" s="67">
        <f>IF(P23,1/X23*1/T23,0)*IF(J23,VLOOKUP(C23,telephelyek!$A:$N,14,0),1)</f>
        <v>0</v>
      </c>
      <c r="Z23" s="4" t="b">
        <f>IFERROR(VLOOKUP($E23,technológiák!$B$3:$D$11,2,0),FALSE)</f>
        <v>0</v>
      </c>
      <c r="AA23" s="4" t="str">
        <f>IFERROR(VLOOKUP(G23,FUELS!$B$4:$I$19,5+MATCH(F23,FUELS!$G$2:$I$2,1),0),"")</f>
        <v/>
      </c>
      <c r="AB23" s="5"/>
      <c r="AC23" s="5"/>
      <c r="AD23" s="39"/>
      <c r="AE23" s="40">
        <f t="shared" si="10"/>
        <v>0</v>
      </c>
      <c r="AF23" s="41" t="str">
        <f t="shared" si="11"/>
        <v/>
      </c>
      <c r="AG23" s="42">
        <f t="shared" si="12"/>
        <v>0</v>
      </c>
      <c r="AH23" s="43">
        <f t="shared" si="13"/>
        <v>0</v>
      </c>
      <c r="AI23" s="45">
        <f>IFERROR(VLOOKUP($E23,technológiák!$B$3:$G$11,6,0),0)</f>
        <v>0</v>
      </c>
      <c r="AJ23" s="4">
        <f>IFERROR(VLOOKUP($E23,technológiák!$B$3:$G$11,5,0),0)</f>
        <v>0</v>
      </c>
      <c r="AK23" s="77">
        <v>0.83</v>
      </c>
      <c r="AL23" s="72">
        <v>0.95</v>
      </c>
      <c r="AM23" s="47">
        <f>IF(Z23,((AL23+1)/AK23)-(AL23/AA23),0)*IF(J23,VLOOKUP(C23,telephelyek!$A:$N,14,0),1)</f>
        <v>0</v>
      </c>
      <c r="AN23" s="4" t="b">
        <f>IFERROR(VLOOKUP($E23,technológiák!$B$3:$D$11,3,0),FALSE)</f>
        <v>0</v>
      </c>
      <c r="AO23" s="72"/>
      <c r="AP23" s="72"/>
      <c r="AQ23" s="47">
        <f>+IF($AN23,1/$AP23*IF($J23,VLOOKUP($C23,telephelyek!$A:$N,14,0),1),0)</f>
        <v>0</v>
      </c>
      <c r="AR23" s="47">
        <f>+IF($AN23,(1-1/$AP23)*IF($J23,VLOOKUP($C23,telephelyek!$A:$N,14,0),1),0)</f>
        <v>0</v>
      </c>
      <c r="AS23" s="4">
        <f>IFERROR(VLOOKUP($G23,FUELS!$B$4:$F$19,2,0),0)</f>
        <v>0</v>
      </c>
      <c r="AT23" s="4">
        <f>IFERROR(VLOOKUP($G23,FUELS!$B$4:$F$19,3,0),0)</f>
        <v>0</v>
      </c>
      <c r="AU23" s="4">
        <f>IFERROR(VLOOKUP($G23,FUELS!$B$4:$F$19,4,0),0)</f>
        <v>0</v>
      </c>
      <c r="AV23" s="4">
        <f>IFERROR(VLOOKUP($G23,FUELS!$B$4:$F$19,5,0),0)</f>
        <v>0</v>
      </c>
      <c r="AW23" s="4">
        <f>IFERROR(VLOOKUP($AO23,FUELS!$B$4:$F$19,2,0),0)</f>
        <v>0</v>
      </c>
      <c r="AX23" s="4">
        <f>IFERROR(VLOOKUP($AO23,FUELS!$B$4:$F$19,3,0),0)</f>
        <v>0</v>
      </c>
      <c r="AY23" s="4">
        <f>IFERROR(VLOOKUP($AO23,FUELS!$B$4:$F$19,4,0),0)</f>
        <v>0</v>
      </c>
      <c r="AZ23" s="4">
        <f>IFERROR(VLOOKUP($AO23,FUELS!$B$4:$F$19,5,0),0)</f>
        <v>0</v>
      </c>
    </row>
    <row r="24" spans="1:52">
      <c r="A24">
        <v>22</v>
      </c>
      <c r="B24" s="72"/>
      <c r="C24" s="72"/>
      <c r="D24" s="4" t="str">
        <f>IF(C24&lt;&gt;"",VLOOKUP(C24,telephelyek!A:B,2,0),"-")</f>
        <v>-</v>
      </c>
      <c r="E24" s="72"/>
      <c r="F24" s="72"/>
      <c r="G24" s="72"/>
      <c r="H24" s="69"/>
      <c r="I24" s="72" t="s">
        <v>52</v>
      </c>
      <c r="J24" s="54"/>
      <c r="K24" s="50">
        <f>IFERROR(IF(J24,CONVERT(H24,I24,"MWh")/VLOOKUP(C24,telephelyek!$A:$N,14,0),CONVERT(H24,I24,"MWh")),0)</f>
        <v>0</v>
      </c>
      <c r="L24" s="57">
        <f t="shared" si="5"/>
        <v>0</v>
      </c>
      <c r="M24" s="57">
        <f t="shared" si="6"/>
        <v>0</v>
      </c>
      <c r="N24" s="57">
        <f t="shared" si="7"/>
        <v>0</v>
      </c>
      <c r="O24" s="57">
        <f t="shared" si="8"/>
        <v>0</v>
      </c>
      <c r="P24" s="50" t="b">
        <f t="shared" si="2"/>
        <v>0</v>
      </c>
      <c r="Q24" s="72" t="s">
        <v>90</v>
      </c>
      <c r="R24" s="64">
        <f t="shared" si="3"/>
        <v>0</v>
      </c>
      <c r="S24" s="72"/>
      <c r="T24" s="82">
        <f t="shared" si="14"/>
        <v>1</v>
      </c>
      <c r="U24" s="38"/>
      <c r="V24" s="38"/>
      <c r="W24" s="44">
        <f t="shared" si="9"/>
        <v>1</v>
      </c>
      <c r="X24" s="123">
        <v>0.89</v>
      </c>
      <c r="Y24" s="67">
        <f>IF(P24,1/X24*1/T24,0)*IF(J24,VLOOKUP(C24,telephelyek!$A:$N,14,0),1)</f>
        <v>0</v>
      </c>
      <c r="Z24" s="4" t="b">
        <f>IFERROR(VLOOKUP($E24,technológiák!$B$3:$D$11,2,0),FALSE)</f>
        <v>0</v>
      </c>
      <c r="AA24" s="4" t="str">
        <f>IFERROR(VLOOKUP(G24,FUELS!$B$4:$I$19,5+MATCH(F24,FUELS!$G$2:$I$2,1),0),"")</f>
        <v/>
      </c>
      <c r="AB24" s="5"/>
      <c r="AC24" s="5"/>
      <c r="AD24" s="39"/>
      <c r="AE24" s="40">
        <f t="shared" si="10"/>
        <v>0</v>
      </c>
      <c r="AF24" s="41" t="str">
        <f t="shared" si="11"/>
        <v/>
      </c>
      <c r="AG24" s="42">
        <f t="shared" si="12"/>
        <v>0</v>
      </c>
      <c r="AH24" s="43">
        <f t="shared" si="13"/>
        <v>0</v>
      </c>
      <c r="AI24" s="45">
        <f>IFERROR(VLOOKUP($E24,technológiák!$B$3:$G$11,6,0),0)</f>
        <v>0</v>
      </c>
      <c r="AJ24" s="4">
        <f>IFERROR(VLOOKUP($E24,technológiák!$B$3:$G$11,5,0),0)</f>
        <v>0</v>
      </c>
      <c r="AK24" s="77"/>
      <c r="AL24" s="72"/>
      <c r="AM24" s="47">
        <f>IF(Z24,((AL24+1)/AK24)-(AL24/AA24),0)*IF(J24,VLOOKUP(C24,telephelyek!$A:$N,14,0),1)</f>
        <v>0</v>
      </c>
      <c r="AN24" s="4" t="b">
        <f>IFERROR(VLOOKUP($E24,technológiák!$B$3:$D$11,3,0),FALSE)</f>
        <v>0</v>
      </c>
      <c r="AO24" s="72"/>
      <c r="AP24" s="72"/>
      <c r="AQ24" s="47">
        <f>+IF($AN24,1/$AP24*IF($J24,VLOOKUP($C24,telephelyek!$A:$N,14,0),1),0)</f>
        <v>0</v>
      </c>
      <c r="AR24" s="47">
        <f>+IF($AN24,(1-1/$AP24)*IF($J24,VLOOKUP($C24,telephelyek!$A:$N,14,0),1),0)</f>
        <v>0</v>
      </c>
      <c r="AS24" s="4">
        <f>IFERROR(VLOOKUP($G24,FUELS!$B$4:$F$19,2,0),0)</f>
        <v>0</v>
      </c>
      <c r="AT24" s="4">
        <f>IFERROR(VLOOKUP($G24,FUELS!$B$4:$F$19,3,0),0)</f>
        <v>0</v>
      </c>
      <c r="AU24" s="4">
        <f>IFERROR(VLOOKUP($G24,FUELS!$B$4:$F$19,4,0),0)</f>
        <v>0</v>
      </c>
      <c r="AV24" s="4">
        <f>IFERROR(VLOOKUP($G24,FUELS!$B$4:$F$19,5,0),0)</f>
        <v>0</v>
      </c>
      <c r="AW24" s="4">
        <f>IFERROR(VLOOKUP($AO24,FUELS!$B$4:$F$19,2,0),0)</f>
        <v>0</v>
      </c>
      <c r="AX24" s="4">
        <f>IFERROR(VLOOKUP($AO24,FUELS!$B$4:$F$19,3,0),0)</f>
        <v>0</v>
      </c>
      <c r="AY24" s="4">
        <f>IFERROR(VLOOKUP($AO24,FUELS!$B$4:$F$19,4,0),0)</f>
        <v>0</v>
      </c>
      <c r="AZ24" s="4">
        <f>IFERROR(VLOOKUP($AO24,FUELS!$B$4:$F$19,5,0),0)</f>
        <v>0</v>
      </c>
    </row>
    <row r="25" spans="1:52">
      <c r="A25">
        <v>23</v>
      </c>
      <c r="B25" s="72"/>
      <c r="C25" s="72"/>
      <c r="D25" s="4" t="str">
        <f>IF(C25&lt;&gt;"",VLOOKUP(C25,telephelyek!A:B,2,0),"-")</f>
        <v>-</v>
      </c>
      <c r="E25" s="72"/>
      <c r="F25" s="72"/>
      <c r="G25" s="72"/>
      <c r="H25" s="110"/>
      <c r="I25" s="72" t="s">
        <v>52</v>
      </c>
      <c r="J25" s="54"/>
      <c r="K25" s="50">
        <f>IFERROR(IF(J25,CONVERT(H25,I25,"MWh")/VLOOKUP(C25,telephelyek!$A:$N,14,0),CONVERT(H25,I25,"MWh")),0)</f>
        <v>0</v>
      </c>
      <c r="L25" s="57">
        <f t="shared" si="5"/>
        <v>0</v>
      </c>
      <c r="M25" s="57">
        <f t="shared" si="6"/>
        <v>0</v>
      </c>
      <c r="N25" s="57">
        <f t="shared" si="7"/>
        <v>0</v>
      </c>
      <c r="O25" s="57">
        <f t="shared" si="8"/>
        <v>0</v>
      </c>
      <c r="P25" s="50" t="b">
        <f t="shared" si="2"/>
        <v>0</v>
      </c>
      <c r="Q25" s="72" t="s">
        <v>108</v>
      </c>
      <c r="R25" s="64">
        <f t="shared" si="3"/>
        <v>2</v>
      </c>
      <c r="S25" s="72" t="s">
        <v>151</v>
      </c>
      <c r="T25" s="82">
        <f t="shared" si="14"/>
        <v>1</v>
      </c>
      <c r="U25" s="38"/>
      <c r="V25" s="38"/>
      <c r="W25" s="44">
        <f t="shared" si="9"/>
        <v>1</v>
      </c>
      <c r="X25" s="123">
        <v>0.98</v>
      </c>
      <c r="Y25" s="67">
        <f>IF(P25,1/X25*1/T25,0)*IF(J25,VLOOKUP(C25,telephelyek!$A:$N,14,0),1)</f>
        <v>0</v>
      </c>
      <c r="Z25" s="4" t="b">
        <f>IFERROR(VLOOKUP($E25,technológiák!$B$3:$D$11,2,0),FALSE)</f>
        <v>0</v>
      </c>
      <c r="AA25" s="4" t="str">
        <f>IFERROR(VLOOKUP(G25,FUELS!$B$4:$I$19,5+MATCH(F25,FUELS!$G$2:$I$2,1),0),"")</f>
        <v/>
      </c>
      <c r="AB25" s="5"/>
      <c r="AC25" s="5"/>
      <c r="AD25" s="39"/>
      <c r="AE25" s="40">
        <f t="shared" si="10"/>
        <v>0</v>
      </c>
      <c r="AF25" s="41" t="str">
        <f t="shared" si="11"/>
        <v/>
      </c>
      <c r="AG25" s="42">
        <f t="shared" si="12"/>
        <v>0</v>
      </c>
      <c r="AH25" s="43">
        <f t="shared" si="13"/>
        <v>0</v>
      </c>
      <c r="AI25" s="45">
        <f>IFERROR(VLOOKUP($E25,technológiák!$B$3:$G$11,6,0),0)</f>
        <v>0</v>
      </c>
      <c r="AJ25" s="4">
        <f>IFERROR(VLOOKUP($E25,technológiák!$B$3:$G$11,5,0),0)</f>
        <v>0</v>
      </c>
      <c r="AK25" s="77"/>
      <c r="AL25" s="72"/>
      <c r="AM25" s="47">
        <f>IF(Z25,((AL25+1)/AK25)-(AL25/AA25),0)*IF(J25,VLOOKUP(C25,telephelyek!$A:$N,14,0),1)</f>
        <v>0</v>
      </c>
      <c r="AN25" s="4" t="b">
        <f>IFERROR(VLOOKUP($E25,technológiák!$B$3:$D$11,3,0),FALSE)</f>
        <v>0</v>
      </c>
      <c r="AO25" s="72"/>
      <c r="AP25" s="72"/>
      <c r="AQ25" s="47">
        <f>+IF($AN25,1/$AP25*IF($J25,VLOOKUP($C25,telephelyek!$A:$N,14,0),1),0)</f>
        <v>0</v>
      </c>
      <c r="AR25" s="47">
        <f>+IF($AN25,(1-1/$AP25)*IF($J25,VLOOKUP($C25,telephelyek!$A:$N,14,0),1),0)</f>
        <v>0</v>
      </c>
      <c r="AS25" s="4">
        <f>IFERROR(VLOOKUP($G25,FUELS!$B$4:$F$19,2,0),0)</f>
        <v>0</v>
      </c>
      <c r="AT25" s="4">
        <f>IFERROR(VLOOKUP($G25,FUELS!$B$4:$F$19,3,0),0)</f>
        <v>0</v>
      </c>
      <c r="AU25" s="4">
        <f>IFERROR(VLOOKUP($G25,FUELS!$B$4:$F$19,4,0),0)</f>
        <v>0</v>
      </c>
      <c r="AV25" s="4">
        <f>IFERROR(VLOOKUP($G25,FUELS!$B$4:$F$19,5,0),0)</f>
        <v>0</v>
      </c>
      <c r="AW25" s="4">
        <f>IFERROR(VLOOKUP($AO25,FUELS!$B$4:$F$19,2,0),0)</f>
        <v>0</v>
      </c>
      <c r="AX25" s="4">
        <f>IFERROR(VLOOKUP($AO25,FUELS!$B$4:$F$19,3,0),0)</f>
        <v>0</v>
      </c>
      <c r="AY25" s="4">
        <f>IFERROR(VLOOKUP($AO25,FUELS!$B$4:$F$19,4,0),0)</f>
        <v>0</v>
      </c>
      <c r="AZ25" s="4">
        <f>IFERROR(VLOOKUP($AO25,FUELS!$B$4:$F$19,5,0),0)</f>
        <v>0</v>
      </c>
    </row>
    <row r="26" spans="1:52">
      <c r="A26">
        <v>24</v>
      </c>
      <c r="B26" s="72"/>
      <c r="C26" s="72"/>
      <c r="D26" s="4" t="str">
        <f>IF(C26&lt;&gt;"",VLOOKUP(C26,telephelyek!A:B,2,0),"-")</f>
        <v>-</v>
      </c>
      <c r="E26" s="72"/>
      <c r="F26" s="72"/>
      <c r="G26" s="72"/>
      <c r="H26" s="69"/>
      <c r="I26" s="72" t="s">
        <v>52</v>
      </c>
      <c r="J26" s="54"/>
      <c r="K26" s="50">
        <f>IFERROR(IF(J26,CONVERT(H26,I26,"MWh")/VLOOKUP(C26,telephelyek!$A:$N,14,0),CONVERT(H26,I26,"MWh")),0)</f>
        <v>0</v>
      </c>
      <c r="L26" s="57">
        <f t="shared" si="5"/>
        <v>0</v>
      </c>
      <c r="M26" s="57">
        <f t="shared" si="6"/>
        <v>0</v>
      </c>
      <c r="N26" s="57">
        <f t="shared" si="7"/>
        <v>0</v>
      </c>
      <c r="O26" s="57">
        <f t="shared" si="8"/>
        <v>0</v>
      </c>
      <c r="P26" s="50" t="b">
        <f t="shared" si="2"/>
        <v>0</v>
      </c>
      <c r="Q26" s="72"/>
      <c r="R26" s="64">
        <f t="shared" si="3"/>
        <v>0</v>
      </c>
      <c r="S26" s="72"/>
      <c r="T26" s="82">
        <f t="shared" si="14"/>
        <v>1</v>
      </c>
      <c r="U26" s="38"/>
      <c r="V26" s="38"/>
      <c r="W26" s="44">
        <f t="shared" si="9"/>
        <v>1</v>
      </c>
      <c r="X26" s="123"/>
      <c r="Y26" s="67">
        <f>IF(P26,1/X26*1/T26,0)*IF(J26,VLOOKUP(C26,telephelyek!$A:$N,14,0),1)</f>
        <v>0</v>
      </c>
      <c r="Z26" s="4" t="b">
        <f>IFERROR(VLOOKUP($E26,technológiák!$B$3:$D$11,2,0),FALSE)</f>
        <v>0</v>
      </c>
      <c r="AA26" s="4" t="str">
        <f>IFERROR(VLOOKUP(G26,FUELS!$B$4:$I$19,5+MATCH(F26,FUELS!$G$2:$I$2,1),0),"")</f>
        <v/>
      </c>
      <c r="AB26" s="5"/>
      <c r="AC26" s="5"/>
      <c r="AD26" s="39"/>
      <c r="AE26" s="40">
        <f t="shared" si="10"/>
        <v>0</v>
      </c>
      <c r="AF26" s="41" t="str">
        <f t="shared" si="11"/>
        <v/>
      </c>
      <c r="AG26" s="42">
        <f t="shared" si="12"/>
        <v>0</v>
      </c>
      <c r="AH26" s="43">
        <f t="shared" si="13"/>
        <v>0</v>
      </c>
      <c r="AI26" s="45">
        <f>IFERROR(VLOOKUP($E26,technológiák!$B$3:$G$11,6,0),0)</f>
        <v>0</v>
      </c>
      <c r="AJ26" s="4">
        <f>IFERROR(VLOOKUP($E26,technológiák!$B$3:$G$11,5,0),0)</f>
        <v>0</v>
      </c>
      <c r="AK26" s="77">
        <v>0.83</v>
      </c>
      <c r="AL26" s="72">
        <v>0.95</v>
      </c>
      <c r="AM26" s="47">
        <f>IF(Z26,((AL26+1)/AK26)-(AL26/AA26),0)*IF(J26,VLOOKUP(C26,telephelyek!$A:$N,14,0),1)</f>
        <v>0</v>
      </c>
      <c r="AN26" s="4" t="b">
        <f>IFERROR(VLOOKUP($E26,technológiák!$B$3:$D$11,3,0),FALSE)</f>
        <v>0</v>
      </c>
      <c r="AO26" s="72"/>
      <c r="AP26" s="72"/>
      <c r="AQ26" s="47">
        <f>+IF($AN26,1/$AP26*IF($J26,VLOOKUP($C26,telephelyek!$A:$N,14,0),1),0)</f>
        <v>0</v>
      </c>
      <c r="AR26" s="47">
        <f>+IF($AN26,(1-1/$AP26)*IF($J26,VLOOKUP($C26,telephelyek!$A:$N,14,0),1),0)</f>
        <v>0</v>
      </c>
      <c r="AS26" s="4">
        <f>IFERROR(VLOOKUP($G26,FUELS!$B$4:$F$19,2,0),0)</f>
        <v>0</v>
      </c>
      <c r="AT26" s="4">
        <f>IFERROR(VLOOKUP($G26,FUELS!$B$4:$F$19,3,0),0)</f>
        <v>0</v>
      </c>
      <c r="AU26" s="4">
        <f>IFERROR(VLOOKUP($G26,FUELS!$B$4:$F$19,4,0),0)</f>
        <v>0</v>
      </c>
      <c r="AV26" s="4">
        <f>IFERROR(VLOOKUP($G26,FUELS!$B$4:$F$19,5,0),0)</f>
        <v>0</v>
      </c>
      <c r="AW26" s="4">
        <f>IFERROR(VLOOKUP($AO26,FUELS!$B$4:$F$19,2,0),0)</f>
        <v>0</v>
      </c>
      <c r="AX26" s="4">
        <f>IFERROR(VLOOKUP($AO26,FUELS!$B$4:$F$19,3,0),0)</f>
        <v>0</v>
      </c>
      <c r="AY26" s="4">
        <f>IFERROR(VLOOKUP($AO26,FUELS!$B$4:$F$19,4,0),0)</f>
        <v>0</v>
      </c>
      <c r="AZ26" s="4">
        <f>IFERROR(VLOOKUP($AO26,FUELS!$B$4:$F$19,5,0),0)</f>
        <v>0</v>
      </c>
    </row>
    <row r="27" spans="1:52">
      <c r="A27">
        <v>25</v>
      </c>
      <c r="B27" s="72"/>
      <c r="C27" s="72"/>
      <c r="D27" s="4" t="str">
        <f>IF(C27&lt;&gt;"",VLOOKUP(C27,telephelyek!A:B,2,0),"-")</f>
        <v>-</v>
      </c>
      <c r="E27" s="72"/>
      <c r="F27" s="72"/>
      <c r="G27" s="72"/>
      <c r="H27" s="69"/>
      <c r="I27" s="72" t="s">
        <v>52</v>
      </c>
      <c r="J27" s="54"/>
      <c r="K27" s="50">
        <f>IFERROR(IF(J27,CONVERT(H27,I27,"MWh")/VLOOKUP(C27,telephelyek!$A:$N,14,0),CONVERT(H27,I27,"MWh")),0)</f>
        <v>0</v>
      </c>
      <c r="L27" s="57">
        <f t="shared" si="5"/>
        <v>0</v>
      </c>
      <c r="M27" s="57">
        <f t="shared" si="6"/>
        <v>0</v>
      </c>
      <c r="N27" s="57">
        <f t="shared" si="7"/>
        <v>0</v>
      </c>
      <c r="O27" s="57">
        <f t="shared" si="8"/>
        <v>0</v>
      </c>
      <c r="P27" s="50" t="b">
        <f t="shared" si="2"/>
        <v>0</v>
      </c>
      <c r="Q27" s="72" t="s">
        <v>90</v>
      </c>
      <c r="R27" s="64">
        <f t="shared" si="3"/>
        <v>0</v>
      </c>
      <c r="S27" s="72"/>
      <c r="T27" s="82">
        <f t="shared" si="14"/>
        <v>1</v>
      </c>
      <c r="U27" s="38"/>
      <c r="V27" s="38"/>
      <c r="W27" s="44">
        <f t="shared" si="9"/>
        <v>1</v>
      </c>
      <c r="X27" s="123">
        <v>0.89</v>
      </c>
      <c r="Y27" s="67">
        <f>IF(P27,1/X27*1/T27,0)*IF(J27,VLOOKUP(C27,telephelyek!$A:$N,14,0),1)</f>
        <v>0</v>
      </c>
      <c r="Z27" s="4" t="b">
        <f>IFERROR(VLOOKUP($E27,technológiák!$B$3:$D$11,2,0),FALSE)</f>
        <v>0</v>
      </c>
      <c r="AA27" s="4" t="str">
        <f>IFERROR(VLOOKUP(G27,FUELS!$B$4:$I$19,5+MATCH(F27,FUELS!$G$2:$I$2,1),0),"")</f>
        <v/>
      </c>
      <c r="AB27" s="5"/>
      <c r="AC27" s="5"/>
      <c r="AD27" s="39"/>
      <c r="AE27" s="40">
        <f t="shared" si="10"/>
        <v>0</v>
      </c>
      <c r="AF27" s="41" t="str">
        <f t="shared" si="11"/>
        <v/>
      </c>
      <c r="AG27" s="42">
        <f t="shared" si="12"/>
        <v>0</v>
      </c>
      <c r="AH27" s="43">
        <f t="shared" si="13"/>
        <v>0</v>
      </c>
      <c r="AI27" s="45">
        <f>IFERROR(VLOOKUP($E27,technológiák!$B$3:$G$11,6,0),0)</f>
        <v>0</v>
      </c>
      <c r="AJ27" s="4">
        <f>IFERROR(VLOOKUP($E27,technológiák!$B$3:$G$11,5,0),0)</f>
        <v>0</v>
      </c>
      <c r="AK27" s="77"/>
      <c r="AL27" s="72"/>
      <c r="AM27" s="47">
        <f>IF(Z27,((AL27+1)/AK27)-(AL27/AA27),0)*IF(J27,VLOOKUP(C27,telephelyek!$A:$N,14,0),1)</f>
        <v>0</v>
      </c>
      <c r="AN27" s="4" t="b">
        <f>IFERROR(VLOOKUP($E27,technológiák!$B$3:$D$11,3,0),FALSE)</f>
        <v>0</v>
      </c>
      <c r="AO27" s="72"/>
      <c r="AP27" s="72"/>
      <c r="AQ27" s="47">
        <f>+IF($AN27,1/$AP27*IF($J27,VLOOKUP($C27,telephelyek!$A:$N,14,0),1),0)</f>
        <v>0</v>
      </c>
      <c r="AR27" s="47">
        <f>+IF($AN27,(1-1/$AP27)*IF($J27,VLOOKUP($C27,telephelyek!$A:$N,14,0),1),0)</f>
        <v>0</v>
      </c>
      <c r="AS27" s="4">
        <f>IFERROR(VLOOKUP($G27,FUELS!$B$4:$F$19,2,0),0)</f>
        <v>0</v>
      </c>
      <c r="AT27" s="4">
        <f>IFERROR(VLOOKUP($G27,FUELS!$B$4:$F$19,3,0),0)</f>
        <v>0</v>
      </c>
      <c r="AU27" s="4">
        <f>IFERROR(VLOOKUP($G27,FUELS!$B$4:$F$19,4,0),0)</f>
        <v>0</v>
      </c>
      <c r="AV27" s="4">
        <f>IFERROR(VLOOKUP($G27,FUELS!$B$4:$F$19,5,0),0)</f>
        <v>0</v>
      </c>
      <c r="AW27" s="4">
        <f>IFERROR(VLOOKUP($AO27,FUELS!$B$4:$F$19,2,0),0)</f>
        <v>0</v>
      </c>
      <c r="AX27" s="4">
        <f>IFERROR(VLOOKUP($AO27,FUELS!$B$4:$F$19,3,0),0)</f>
        <v>0</v>
      </c>
      <c r="AY27" s="4">
        <f>IFERROR(VLOOKUP($AO27,FUELS!$B$4:$F$19,4,0),0)</f>
        <v>0</v>
      </c>
      <c r="AZ27" s="4">
        <f>IFERROR(VLOOKUP($AO27,FUELS!$B$4:$F$19,5,0),0)</f>
        <v>0</v>
      </c>
    </row>
    <row r="28" spans="1:52">
      <c r="A28">
        <v>26</v>
      </c>
      <c r="B28" s="72"/>
      <c r="C28" s="72"/>
      <c r="D28" s="4" t="str">
        <f>IF(C28&lt;&gt;"",VLOOKUP(C28,telephelyek!A:B,2,0),"-")</f>
        <v>-</v>
      </c>
      <c r="E28" s="72"/>
      <c r="F28" s="72"/>
      <c r="G28" s="72"/>
      <c r="H28" s="69"/>
      <c r="I28" s="72" t="s">
        <v>52</v>
      </c>
      <c r="J28" s="54"/>
      <c r="K28" s="50">
        <f>IFERROR(IF(J28,CONVERT(H28,I28,"MWh")/VLOOKUP(C28,telephelyek!$A:$N,14,0),CONVERT(H28,I28,"MWh")),0)</f>
        <v>0</v>
      </c>
      <c r="L28" s="57">
        <f t="shared" si="5"/>
        <v>0</v>
      </c>
      <c r="M28" s="57">
        <f t="shared" si="6"/>
        <v>0</v>
      </c>
      <c r="N28" s="57">
        <f t="shared" si="7"/>
        <v>0</v>
      </c>
      <c r="O28" s="57">
        <f t="shared" si="8"/>
        <v>0</v>
      </c>
      <c r="P28" s="50" t="b">
        <f t="shared" si="2"/>
        <v>0</v>
      </c>
      <c r="Q28" s="72" t="s">
        <v>90</v>
      </c>
      <c r="R28" s="64">
        <f t="shared" si="3"/>
        <v>0</v>
      </c>
      <c r="S28" s="72"/>
      <c r="T28" s="82">
        <f t="shared" si="14"/>
        <v>1</v>
      </c>
      <c r="U28" s="38"/>
      <c r="V28" s="38"/>
      <c r="W28" s="44">
        <f t="shared" si="9"/>
        <v>1</v>
      </c>
      <c r="X28" s="123">
        <v>0.87</v>
      </c>
      <c r="Y28" s="67">
        <f>IF(P28,1/X28*1/T28,0)*IF(J28,VLOOKUP(C28,telephelyek!$A:$N,14,0),1)</f>
        <v>0</v>
      </c>
      <c r="Z28" s="4" t="b">
        <f>IFERROR(VLOOKUP($E28,technológiák!$B$3:$D$11,2,0),FALSE)</f>
        <v>0</v>
      </c>
      <c r="AA28" s="4" t="str">
        <f>IFERROR(VLOOKUP(G28,FUELS!$B$4:$I$19,5+MATCH(F28,FUELS!$G$2:$I$2,1),0),"")</f>
        <v/>
      </c>
      <c r="AB28" s="5"/>
      <c r="AC28" s="5"/>
      <c r="AD28" s="39"/>
      <c r="AE28" s="40">
        <f t="shared" si="10"/>
        <v>0</v>
      </c>
      <c r="AF28" s="41" t="str">
        <f t="shared" si="11"/>
        <v/>
      </c>
      <c r="AG28" s="42">
        <f t="shared" si="12"/>
        <v>0</v>
      </c>
      <c r="AH28" s="43">
        <f t="shared" si="13"/>
        <v>0</v>
      </c>
      <c r="AI28" s="45">
        <f>IFERROR(VLOOKUP($E28,technológiák!$B$3:$G$11,6,0),0)</f>
        <v>0</v>
      </c>
      <c r="AJ28" s="4">
        <f>IFERROR(VLOOKUP($E28,technológiák!$B$3:$G$11,5,0),0)</f>
        <v>0</v>
      </c>
      <c r="AK28" s="77"/>
      <c r="AL28" s="72"/>
      <c r="AM28" s="47">
        <f>IF(Z28,((AL28+1)/AK28)-(AL28/AA28),0)*IF(J28,VLOOKUP(C28,telephelyek!$A:$N,14,0),1)</f>
        <v>0</v>
      </c>
      <c r="AN28" s="4" t="b">
        <f>IFERROR(VLOOKUP($E28,technológiák!$B$3:$D$11,3,0),FALSE)</f>
        <v>0</v>
      </c>
      <c r="AO28" s="72"/>
      <c r="AP28" s="72"/>
      <c r="AQ28" s="47">
        <f>+IF($AN28,1/$AP28*IF($J28,VLOOKUP($C28,telephelyek!$A:$N,14,0),1),0)</f>
        <v>0</v>
      </c>
      <c r="AR28" s="47">
        <f>+IF($AN28,(1-1/$AP28)*IF($J28,VLOOKUP($C28,telephelyek!$A:$N,14,0),1),0)</f>
        <v>0</v>
      </c>
      <c r="AS28" s="4">
        <f>IFERROR(VLOOKUP($G28,FUELS!$B$4:$F$19,2,0),0)</f>
        <v>0</v>
      </c>
      <c r="AT28" s="4">
        <f>IFERROR(VLOOKUP($G28,FUELS!$B$4:$F$19,3,0),0)</f>
        <v>0</v>
      </c>
      <c r="AU28" s="4">
        <f>IFERROR(VLOOKUP($G28,FUELS!$B$4:$F$19,4,0),0)</f>
        <v>0</v>
      </c>
      <c r="AV28" s="4">
        <f>IFERROR(VLOOKUP($G28,FUELS!$B$4:$F$19,5,0),0)</f>
        <v>0</v>
      </c>
      <c r="AW28" s="4">
        <f>IFERROR(VLOOKUP($AO28,FUELS!$B$4:$F$19,2,0),0)</f>
        <v>0</v>
      </c>
      <c r="AX28" s="4">
        <f>IFERROR(VLOOKUP($AO28,FUELS!$B$4:$F$19,3,0),0)</f>
        <v>0</v>
      </c>
      <c r="AY28" s="4">
        <f>IFERROR(VLOOKUP($AO28,FUELS!$B$4:$F$19,4,0),0)</f>
        <v>0</v>
      </c>
      <c r="AZ28" s="4">
        <f>IFERROR(VLOOKUP($AO28,FUELS!$B$4:$F$19,5,0),0)</f>
        <v>0</v>
      </c>
    </row>
    <row r="29" spans="1:52">
      <c r="A29">
        <v>27</v>
      </c>
      <c r="B29" s="72"/>
      <c r="C29" s="72"/>
      <c r="D29" s="4" t="str">
        <f>IF(C29&lt;&gt;"",VLOOKUP(C29,telephelyek!A:B,2,0),"-")</f>
        <v>-</v>
      </c>
      <c r="E29" s="72"/>
      <c r="F29" s="72"/>
      <c r="G29" s="72"/>
      <c r="H29" s="69"/>
      <c r="I29" s="72" t="s">
        <v>52</v>
      </c>
      <c r="J29" s="54"/>
      <c r="K29" s="50">
        <f>IFERROR(IF(J29,CONVERT(H29,I29,"MWh")/VLOOKUP(C29,telephelyek!$A:$N,14,0),CONVERT(H29,I29,"MWh")),0)</f>
        <v>0</v>
      </c>
      <c r="L29" s="57">
        <f t="shared" si="5"/>
        <v>0</v>
      </c>
      <c r="M29" s="57">
        <f t="shared" si="6"/>
        <v>0</v>
      </c>
      <c r="N29" s="57">
        <f t="shared" si="7"/>
        <v>0</v>
      </c>
      <c r="O29" s="57">
        <f t="shared" si="8"/>
        <v>0</v>
      </c>
      <c r="P29" s="50" t="b">
        <f t="shared" si="2"/>
        <v>0</v>
      </c>
      <c r="Q29" s="72"/>
      <c r="R29" s="64">
        <f t="shared" si="3"/>
        <v>0</v>
      </c>
      <c r="S29" s="72"/>
      <c r="T29" s="82">
        <f t="shared" si="14"/>
        <v>1</v>
      </c>
      <c r="U29" s="38"/>
      <c r="V29" s="38"/>
      <c r="W29" s="44">
        <f t="shared" si="9"/>
        <v>1</v>
      </c>
      <c r="X29" s="123"/>
      <c r="Y29" s="67">
        <f>IF(P29,1/X29*1/T29,0)*IF(J29,VLOOKUP(C29,telephelyek!$A:$N,14,0),1)</f>
        <v>0</v>
      </c>
      <c r="Z29" s="4" t="b">
        <f>IFERROR(VLOOKUP($E29,technológiák!$B$3:$D$11,2,0),FALSE)</f>
        <v>0</v>
      </c>
      <c r="AA29" s="4" t="str">
        <f>IFERROR(VLOOKUP(G29,FUELS!$B$4:$I$19,5+MATCH(F29,FUELS!$G$2:$I$2,1),0),"")</f>
        <v/>
      </c>
      <c r="AB29" s="5"/>
      <c r="AC29" s="5"/>
      <c r="AD29" s="39"/>
      <c r="AE29" s="40">
        <f t="shared" si="10"/>
        <v>0</v>
      </c>
      <c r="AF29" s="41" t="str">
        <f t="shared" si="11"/>
        <v/>
      </c>
      <c r="AG29" s="42">
        <f t="shared" si="12"/>
        <v>0</v>
      </c>
      <c r="AH29" s="43">
        <f t="shared" si="13"/>
        <v>0</v>
      </c>
      <c r="AI29" s="45">
        <f>IFERROR(VLOOKUP($E29,technológiák!$B$3:$G$11,6,0),0)</f>
        <v>0</v>
      </c>
      <c r="AJ29" s="4">
        <f>IFERROR(VLOOKUP($E29,technológiák!$B$3:$G$11,5,0),0)</f>
        <v>0</v>
      </c>
      <c r="AK29" s="77">
        <v>0.88400000000000001</v>
      </c>
      <c r="AL29" s="72">
        <v>0.75</v>
      </c>
      <c r="AM29" s="47">
        <f>IF(Z29,((AL29+1)/AK29)-(AL29/AA29),0)*IF(J29,VLOOKUP(C29,telephelyek!$A:$N,14,0),1)</f>
        <v>0</v>
      </c>
      <c r="AN29" s="4" t="b">
        <f>IFERROR(VLOOKUP($E29,technológiák!$B$3:$D$11,3,0),FALSE)</f>
        <v>0</v>
      </c>
      <c r="AO29" s="72"/>
      <c r="AP29" s="72"/>
      <c r="AQ29" s="47">
        <f>+IF($AN29,1/$AP29*IF($J29,VLOOKUP($C29,telephelyek!$A:$N,14,0),1),0)</f>
        <v>0</v>
      </c>
      <c r="AR29" s="47">
        <f>+IF($AN29,(1-1/$AP29)*IF($J29,VLOOKUP($C29,telephelyek!$A:$N,14,0),1),0)</f>
        <v>0</v>
      </c>
      <c r="AS29" s="4">
        <f>IFERROR(VLOOKUP($G29,FUELS!$B$4:$F$19,2,0),0)</f>
        <v>0</v>
      </c>
      <c r="AT29" s="4">
        <f>IFERROR(VLOOKUP($G29,FUELS!$B$4:$F$19,3,0),0)</f>
        <v>0</v>
      </c>
      <c r="AU29" s="4">
        <f>IFERROR(VLOOKUP($G29,FUELS!$B$4:$F$19,4,0),0)</f>
        <v>0</v>
      </c>
      <c r="AV29" s="4">
        <f>IFERROR(VLOOKUP($G29,FUELS!$B$4:$F$19,5,0),0)</f>
        <v>0</v>
      </c>
      <c r="AW29" s="4">
        <f>IFERROR(VLOOKUP($AO29,FUELS!$B$4:$F$19,2,0),0)</f>
        <v>0</v>
      </c>
      <c r="AX29" s="4">
        <f>IFERROR(VLOOKUP($AO29,FUELS!$B$4:$F$19,3,0),0)</f>
        <v>0</v>
      </c>
      <c r="AY29" s="4">
        <f>IFERROR(VLOOKUP($AO29,FUELS!$B$4:$F$19,4,0),0)</f>
        <v>0</v>
      </c>
      <c r="AZ29" s="4">
        <f>IFERROR(VLOOKUP($AO29,FUELS!$B$4:$F$19,5,0),0)</f>
        <v>0</v>
      </c>
    </row>
    <row r="30" spans="1:52">
      <c r="A30">
        <v>28</v>
      </c>
      <c r="B30" s="72"/>
      <c r="C30" s="72"/>
      <c r="D30" s="4" t="str">
        <f>IF(C30&lt;&gt;"",VLOOKUP(C30,telephelyek!A:B,2,0),"-")</f>
        <v>-</v>
      </c>
      <c r="E30" s="72"/>
      <c r="F30" s="72"/>
      <c r="G30" s="72"/>
      <c r="H30" s="69"/>
      <c r="I30" s="72" t="s">
        <v>52</v>
      </c>
      <c r="J30" s="54"/>
      <c r="K30" s="50">
        <f>IFERROR(IF(J30,CONVERT(H30,I30,"MWh")/VLOOKUP(C30,telephelyek!$A:$N,14,0),CONVERT(H30,I30,"MWh")),0)</f>
        <v>0</v>
      </c>
      <c r="L30" s="57">
        <f t="shared" si="5"/>
        <v>0</v>
      </c>
      <c r="M30" s="57">
        <f t="shared" si="6"/>
        <v>0</v>
      </c>
      <c r="N30" s="57">
        <f t="shared" si="7"/>
        <v>0</v>
      </c>
      <c r="O30" s="57">
        <f t="shared" si="8"/>
        <v>0</v>
      </c>
      <c r="P30" s="50" t="b">
        <f t="shared" si="2"/>
        <v>0</v>
      </c>
      <c r="Q30" s="72" t="s">
        <v>90</v>
      </c>
      <c r="R30" s="64">
        <f t="shared" si="3"/>
        <v>0</v>
      </c>
      <c r="S30" s="72"/>
      <c r="T30" s="82">
        <f t="shared" si="14"/>
        <v>1</v>
      </c>
      <c r="U30" s="38">
        <v>11778.589</v>
      </c>
      <c r="V30" s="38" t="s">
        <v>52</v>
      </c>
      <c r="W30" s="44">
        <f t="shared" si="9"/>
        <v>0</v>
      </c>
      <c r="X30" s="123">
        <v>0.89800000000000002</v>
      </c>
      <c r="Y30" s="67">
        <f>IF(P30,1/X30*1/T30,0)*IF(J30,VLOOKUP(C30,telephelyek!$A:$N,14,0),1)</f>
        <v>0</v>
      </c>
      <c r="Z30" s="4" t="b">
        <f>IFERROR(VLOOKUP($E30,technológiák!$B$3:$D$11,2,0),FALSE)</f>
        <v>0</v>
      </c>
      <c r="AA30" s="4" t="str">
        <f>IFERROR(VLOOKUP(G30,FUELS!$B$4:$I$19,5+MATCH(F30,FUELS!$G$2:$I$2,1),0),"")</f>
        <v/>
      </c>
      <c r="AB30" s="5"/>
      <c r="AC30" s="5"/>
      <c r="AD30" s="39"/>
      <c r="AE30" s="40">
        <f t="shared" si="10"/>
        <v>0</v>
      </c>
      <c r="AF30" s="41" t="str">
        <f t="shared" si="11"/>
        <v/>
      </c>
      <c r="AG30" s="42">
        <f t="shared" si="12"/>
        <v>0</v>
      </c>
      <c r="AH30" s="43">
        <f t="shared" si="13"/>
        <v>0</v>
      </c>
      <c r="AI30" s="45">
        <f>IFERROR(VLOOKUP($E30,technológiák!$B$3:$G$11,6,0),0)</f>
        <v>0</v>
      </c>
      <c r="AJ30" s="4">
        <f>IFERROR(VLOOKUP($E30,technológiák!$B$3:$G$11,5,0),0)</f>
        <v>0</v>
      </c>
      <c r="AK30" s="77"/>
      <c r="AL30" s="72"/>
      <c r="AM30" s="47">
        <f>IF(Z30,((AL30+1)/AK30)-(AL30/AA30),0)*IF(J30,VLOOKUP(C30,telephelyek!$A:$N,14,0),1)</f>
        <v>0</v>
      </c>
      <c r="AN30" s="4" t="b">
        <f>IFERROR(VLOOKUP($E30,technológiák!$B$3:$D$11,3,0),FALSE)</f>
        <v>0</v>
      </c>
      <c r="AO30" s="72"/>
      <c r="AP30" s="72"/>
      <c r="AQ30" s="47">
        <f>+IF($AN30,1/$AP30*IF($J30,VLOOKUP($C30,telephelyek!$A:$N,14,0),1),0)</f>
        <v>0</v>
      </c>
      <c r="AR30" s="47">
        <f>+IF($AN30,(1-1/$AP30)*IF($J30,VLOOKUP($C30,telephelyek!$A:$N,14,0),1),0)</f>
        <v>0</v>
      </c>
      <c r="AS30" s="4">
        <f>IFERROR(VLOOKUP($G30,FUELS!$B$4:$F$19,2,0),0)</f>
        <v>0</v>
      </c>
      <c r="AT30" s="4">
        <f>IFERROR(VLOOKUP($G30,FUELS!$B$4:$F$19,3,0),0)</f>
        <v>0</v>
      </c>
      <c r="AU30" s="4">
        <f>IFERROR(VLOOKUP($G30,FUELS!$B$4:$F$19,4,0),0)</f>
        <v>0</v>
      </c>
      <c r="AV30" s="4">
        <f>IFERROR(VLOOKUP($G30,FUELS!$B$4:$F$19,5,0),0)</f>
        <v>0</v>
      </c>
      <c r="AW30" s="4">
        <f>IFERROR(VLOOKUP($AO30,FUELS!$B$4:$F$19,2,0),0)</f>
        <v>0</v>
      </c>
      <c r="AX30" s="4">
        <f>IFERROR(VLOOKUP($AO30,FUELS!$B$4:$F$19,3,0),0)</f>
        <v>0</v>
      </c>
      <c r="AY30" s="4">
        <f>IFERROR(VLOOKUP($AO30,FUELS!$B$4:$F$19,4,0),0)</f>
        <v>0</v>
      </c>
      <c r="AZ30" s="4">
        <f>IFERROR(VLOOKUP($AO30,FUELS!$B$4:$F$19,5,0),0)</f>
        <v>0</v>
      </c>
    </row>
    <row r="31" spans="1:52">
      <c r="A31">
        <v>29</v>
      </c>
      <c r="B31" s="72"/>
      <c r="C31" s="72"/>
      <c r="D31" s="4" t="str">
        <f>IF(C31&lt;&gt;"",VLOOKUP(C31,telephelyek!A:B,2,0),"-")</f>
        <v>-</v>
      </c>
      <c r="E31" s="72"/>
      <c r="F31" s="72"/>
      <c r="G31" s="72"/>
      <c r="H31" s="69"/>
      <c r="I31" s="72" t="s">
        <v>52</v>
      </c>
      <c r="J31" s="54"/>
      <c r="K31" s="50">
        <f>IFERROR(IF(J31,CONVERT(H31,I31,"MWh")/VLOOKUP(C31,telephelyek!$A:$N,14,0),CONVERT(H31,I31,"MWh")),0)</f>
        <v>0</v>
      </c>
      <c r="L31" s="57">
        <f t="shared" si="5"/>
        <v>0</v>
      </c>
      <c r="M31" s="57">
        <f t="shared" si="6"/>
        <v>0</v>
      </c>
      <c r="N31" s="57">
        <f t="shared" si="7"/>
        <v>0</v>
      </c>
      <c r="O31" s="57">
        <f t="shared" si="8"/>
        <v>0</v>
      </c>
      <c r="P31" s="50" t="b">
        <f t="shared" si="2"/>
        <v>0</v>
      </c>
      <c r="Q31" s="72" t="s">
        <v>90</v>
      </c>
      <c r="R31" s="64">
        <f t="shared" si="3"/>
        <v>0</v>
      </c>
      <c r="S31" s="72"/>
      <c r="T31" s="82">
        <f t="shared" si="14"/>
        <v>1</v>
      </c>
      <c r="U31" s="38">
        <v>8035.9399999999987</v>
      </c>
      <c r="V31" s="38" t="s">
        <v>52</v>
      </c>
      <c r="W31" s="44">
        <f t="shared" si="9"/>
        <v>0</v>
      </c>
      <c r="X31" s="123">
        <v>0.98199999999999998</v>
      </c>
      <c r="Y31" s="67">
        <f>IF(P31,1/X31*1/T31,0)*IF(J31,VLOOKUP(C31,telephelyek!$A:$N,14,0),1)</f>
        <v>0</v>
      </c>
      <c r="Z31" s="4" t="b">
        <f>IFERROR(VLOOKUP($E31,technológiák!$B$3:$D$11,2,0),FALSE)</f>
        <v>0</v>
      </c>
      <c r="AA31" s="4" t="str">
        <f>IFERROR(VLOOKUP(G31,FUELS!$B$4:$I$19,5+MATCH(F31,FUELS!$G$2:$I$2,1),0),"")</f>
        <v/>
      </c>
      <c r="AB31" s="5"/>
      <c r="AC31" s="5"/>
      <c r="AD31" s="39"/>
      <c r="AE31" s="40">
        <f t="shared" si="10"/>
        <v>0</v>
      </c>
      <c r="AF31" s="41" t="str">
        <f t="shared" si="11"/>
        <v/>
      </c>
      <c r="AG31" s="42">
        <f t="shared" si="12"/>
        <v>0</v>
      </c>
      <c r="AH31" s="43">
        <f t="shared" si="13"/>
        <v>0</v>
      </c>
      <c r="AI31" s="45">
        <f>IFERROR(VLOOKUP($E31,technológiák!$B$3:$G$11,6,0),0)</f>
        <v>0</v>
      </c>
      <c r="AJ31" s="4">
        <f>IFERROR(VLOOKUP($E31,technológiák!$B$3:$G$11,5,0),0)</f>
        <v>0</v>
      </c>
      <c r="AK31" s="77"/>
      <c r="AL31" s="72"/>
      <c r="AM31" s="47">
        <f>IF(Z31,((AL31+1)/AK31)-(AL31/AA31),0)*IF(J31,VLOOKUP(C31,telephelyek!$A:$N,14,0),1)</f>
        <v>0</v>
      </c>
      <c r="AN31" s="4" t="b">
        <f>IFERROR(VLOOKUP($E31,technológiák!$B$3:$D$11,3,0),FALSE)</f>
        <v>0</v>
      </c>
      <c r="AO31" s="72"/>
      <c r="AP31" s="72"/>
      <c r="AQ31" s="47">
        <f>+IF($AN31,1/$AP31*IF($J31,VLOOKUP($C31,telephelyek!$A:$N,14,0),1),0)</f>
        <v>0</v>
      </c>
      <c r="AR31" s="47">
        <f>+IF($AN31,(1-1/$AP31)*IF($J31,VLOOKUP($C31,telephelyek!$A:$N,14,0),1),0)</f>
        <v>0</v>
      </c>
      <c r="AS31" s="4">
        <f>IFERROR(VLOOKUP($G31,FUELS!$B$4:$F$19,2,0),0)</f>
        <v>0</v>
      </c>
      <c r="AT31" s="4">
        <f>IFERROR(VLOOKUP($G31,FUELS!$B$4:$F$19,3,0),0)</f>
        <v>0</v>
      </c>
      <c r="AU31" s="4">
        <f>IFERROR(VLOOKUP($G31,FUELS!$B$4:$F$19,4,0),0)</f>
        <v>0</v>
      </c>
      <c r="AV31" s="4">
        <f>IFERROR(VLOOKUP($G31,FUELS!$B$4:$F$19,5,0),0)</f>
        <v>0</v>
      </c>
      <c r="AW31" s="4">
        <f>IFERROR(VLOOKUP($AO31,FUELS!$B$4:$F$19,2,0),0)</f>
        <v>0</v>
      </c>
      <c r="AX31" s="4">
        <f>IFERROR(VLOOKUP($AO31,FUELS!$B$4:$F$19,3,0),0)</f>
        <v>0</v>
      </c>
      <c r="AY31" s="4">
        <f>IFERROR(VLOOKUP($AO31,FUELS!$B$4:$F$19,4,0),0)</f>
        <v>0</v>
      </c>
      <c r="AZ31" s="4">
        <f>IFERROR(VLOOKUP($AO31,FUELS!$B$4:$F$19,5,0),0)</f>
        <v>0</v>
      </c>
    </row>
    <row r="32" spans="1:52">
      <c r="A32">
        <v>30</v>
      </c>
      <c r="B32" s="72"/>
      <c r="C32" s="72"/>
      <c r="D32" s="4" t="str">
        <f>IF(C32&lt;&gt;"",VLOOKUP(C32,telephelyek!A:B,2,0),"-")</f>
        <v>-</v>
      </c>
      <c r="E32" s="72"/>
      <c r="F32" s="72"/>
      <c r="G32" s="72"/>
      <c r="H32" s="69"/>
      <c r="I32" s="72" t="s">
        <v>52</v>
      </c>
      <c r="J32" s="54"/>
      <c r="K32" s="50">
        <f>IFERROR(IF(J32,CONVERT(H32,I32,"MWh")/VLOOKUP(C32,telephelyek!$A:$N,14,0),CONVERT(H32,I32,"MWh")),0)</f>
        <v>0</v>
      </c>
      <c r="L32" s="57">
        <f t="shared" si="5"/>
        <v>0</v>
      </c>
      <c r="M32" s="57">
        <f t="shared" si="6"/>
        <v>0</v>
      </c>
      <c r="N32" s="57">
        <f t="shared" si="7"/>
        <v>0</v>
      </c>
      <c r="O32" s="57">
        <f t="shared" si="8"/>
        <v>0</v>
      </c>
      <c r="P32" s="50" t="b">
        <f t="shared" si="2"/>
        <v>0</v>
      </c>
      <c r="Q32" s="72" t="s">
        <v>90</v>
      </c>
      <c r="R32" s="64">
        <f t="shared" si="3"/>
        <v>0</v>
      </c>
      <c r="S32" s="72"/>
      <c r="T32" s="82">
        <f t="shared" si="14"/>
        <v>1</v>
      </c>
      <c r="U32" s="38">
        <v>2173.19</v>
      </c>
      <c r="V32" s="38" t="s">
        <v>52</v>
      </c>
      <c r="W32" s="44">
        <f t="shared" si="9"/>
        <v>0</v>
      </c>
      <c r="X32" s="123">
        <v>1.0009999999999999</v>
      </c>
      <c r="Y32" s="67">
        <f>IF(P32,1/X32*1/T32,0)*IF(J32,VLOOKUP(C32,telephelyek!$A:$N,14,0),1)</f>
        <v>0</v>
      </c>
      <c r="Z32" s="4" t="b">
        <f>IFERROR(VLOOKUP($E32,technológiák!$B$3:$D$11,2,0),FALSE)</f>
        <v>0</v>
      </c>
      <c r="AA32" s="4" t="str">
        <f>IFERROR(VLOOKUP(G32,FUELS!$B$4:$I$19,5+MATCH(F32,FUELS!$G$2:$I$2,1),0),"")</f>
        <v/>
      </c>
      <c r="AB32" s="5"/>
      <c r="AC32" s="5"/>
      <c r="AD32" s="39"/>
      <c r="AE32" s="40">
        <f t="shared" si="10"/>
        <v>0</v>
      </c>
      <c r="AF32" s="41" t="str">
        <f t="shared" si="11"/>
        <v/>
      </c>
      <c r="AG32" s="42">
        <f t="shared" si="12"/>
        <v>0</v>
      </c>
      <c r="AH32" s="43">
        <f t="shared" si="13"/>
        <v>0</v>
      </c>
      <c r="AI32" s="45">
        <f>IFERROR(VLOOKUP($E32,technológiák!$B$3:$G$11,6,0),0)</f>
        <v>0</v>
      </c>
      <c r="AJ32" s="4">
        <f>IFERROR(VLOOKUP($E32,technológiák!$B$3:$G$11,5,0),0)</f>
        <v>0</v>
      </c>
      <c r="AK32" s="77"/>
      <c r="AL32" s="72"/>
      <c r="AM32" s="47">
        <f>IF(Z32,((AL32+1)/AK32)-(AL32/AA32),0)*IF(J32,VLOOKUP(C32,telephelyek!$A:$N,14,0),1)</f>
        <v>0</v>
      </c>
      <c r="AN32" s="4" t="b">
        <f>IFERROR(VLOOKUP($E32,technológiák!$B$3:$D$11,3,0),FALSE)</f>
        <v>0</v>
      </c>
      <c r="AO32" s="72"/>
      <c r="AP32" s="72"/>
      <c r="AQ32" s="47">
        <f>+IF($AN32,1/$AP32*IF($J32,VLOOKUP($C32,telephelyek!$A:$N,14,0),1),0)</f>
        <v>0</v>
      </c>
      <c r="AR32" s="47">
        <f>+IF($AN32,(1-1/$AP32)*IF($J32,VLOOKUP($C32,telephelyek!$A:$N,14,0),1),0)</f>
        <v>0</v>
      </c>
      <c r="AS32" s="4">
        <f>IFERROR(VLOOKUP($G32,FUELS!$B$4:$F$19,2,0),0)</f>
        <v>0</v>
      </c>
      <c r="AT32" s="4">
        <f>IFERROR(VLOOKUP($G32,FUELS!$B$4:$F$19,3,0),0)</f>
        <v>0</v>
      </c>
      <c r="AU32" s="4">
        <f>IFERROR(VLOOKUP($G32,FUELS!$B$4:$F$19,4,0),0)</f>
        <v>0</v>
      </c>
      <c r="AV32" s="4">
        <f>IFERROR(VLOOKUP($G32,FUELS!$B$4:$F$19,5,0),0)</f>
        <v>0</v>
      </c>
      <c r="AW32" s="4">
        <f>IFERROR(VLOOKUP($AO32,FUELS!$B$4:$F$19,2,0),0)</f>
        <v>0</v>
      </c>
      <c r="AX32" s="4">
        <f>IFERROR(VLOOKUP($AO32,FUELS!$B$4:$F$19,3,0),0)</f>
        <v>0</v>
      </c>
      <c r="AY32" s="4">
        <f>IFERROR(VLOOKUP($AO32,FUELS!$B$4:$F$19,4,0),0)</f>
        <v>0</v>
      </c>
      <c r="AZ32" s="4">
        <f>IFERROR(VLOOKUP($AO32,FUELS!$B$4:$F$19,5,0),0)</f>
        <v>0</v>
      </c>
    </row>
    <row r="33" spans="1:52">
      <c r="A33">
        <v>31</v>
      </c>
      <c r="B33" s="72"/>
      <c r="C33" s="72"/>
      <c r="D33" s="4" t="str">
        <f>IF(C33&lt;&gt;"",VLOOKUP(C33,telephelyek!A:B,2,0),"-")</f>
        <v>-</v>
      </c>
      <c r="E33" s="72"/>
      <c r="F33" s="72"/>
      <c r="G33" s="72"/>
      <c r="H33" s="69"/>
      <c r="I33" s="72" t="s">
        <v>52</v>
      </c>
      <c r="J33" s="54"/>
      <c r="K33" s="50">
        <f>IFERROR(IF(J33,CONVERT(H33,I33,"MWh")/VLOOKUP(C33,telephelyek!$A:$N,14,0),CONVERT(H33,I33,"MWh")),0)</f>
        <v>0</v>
      </c>
      <c r="L33" s="57">
        <f t="shared" ref="L33" si="15">$K33*($Y33*AS33+$AM33*AS33+$AQ33*AS33+$AR33*AW33)</f>
        <v>0</v>
      </c>
      <c r="M33" s="57">
        <f t="shared" ref="M33" si="16">$K33*($Y33*AT33+$AM33*AT33+$AQ33*AT33+$AR33*AX33)</f>
        <v>0</v>
      </c>
      <c r="N33" s="57">
        <f t="shared" ref="N33" si="17">$K33*($Y33*AU33+$AM33*AU33+$AQ33*AU33+$AR33*AY33)</f>
        <v>0</v>
      </c>
      <c r="O33" s="57">
        <f t="shared" ref="O33" si="18">$K33*($Y33*AV33+$AM33*AV33+$AQ33*AV33+$AR33*AZ33)</f>
        <v>0</v>
      </c>
      <c r="P33" s="50" t="b">
        <f t="shared" ref="P33" si="19">IF(B33&lt;&gt;"",NOT(OR(Z33,AN33)),FALSE)</f>
        <v>0</v>
      </c>
      <c r="Q33" s="72" t="s">
        <v>90</v>
      </c>
      <c r="R33" s="64">
        <f t="shared" ref="R33" si="20">IFERROR(VALUE(LEFT(Q33,1)),0)</f>
        <v>0</v>
      </c>
      <c r="S33" s="72"/>
      <c r="T33" s="82">
        <f t="shared" ref="T33" si="21">IFERROR(VLOOKUP(S33,$B:$AJ,26,0),1)</f>
        <v>1</v>
      </c>
      <c r="U33" s="38">
        <v>4200.3379999999997</v>
      </c>
      <c r="V33" s="38" t="s">
        <v>52</v>
      </c>
      <c r="W33" s="44">
        <f t="shared" ref="W33" si="22">IFERROR(CONVERT(H33,I33,"GJ")/CONVERT(U33,V33,"GJ"),1)</f>
        <v>0</v>
      </c>
      <c r="X33" s="123">
        <v>0.79200000000000004</v>
      </c>
      <c r="Y33" s="67">
        <f>IF(P33,1/X33*1/T33,0)*IF(J33,VLOOKUP(C33,telephelyek!$A:$N,14,0),1)</f>
        <v>0</v>
      </c>
      <c r="Z33" s="4" t="b">
        <f>IFERROR(VLOOKUP($E33,technológiák!$B$3:$D$11,2,0),FALSE)</f>
        <v>0</v>
      </c>
      <c r="AA33" s="4" t="str">
        <f>IFERROR(VLOOKUP(G33,FUELS!$B$4:$I$19,5+MATCH(F33,FUELS!$G$2:$I$2,1),0),"")</f>
        <v/>
      </c>
      <c r="AB33" s="5"/>
      <c r="AC33" s="5"/>
      <c r="AD33" s="39"/>
      <c r="AE33" s="40">
        <f t="shared" ref="AE33" si="23">IF(Z33,H33,0)</f>
        <v>0</v>
      </c>
      <c r="AF33" s="41" t="str">
        <f t="shared" ref="AF33" si="24">IF(Z33,I33,"")</f>
        <v/>
      </c>
      <c r="AG33" s="42">
        <f t="shared" ref="AG33" si="25">IFERROR((CONVERT(AE33,AF33,"MWh")+AD33)/CONVERT(AB33,AC33,"MWh"),0)</f>
        <v>0</v>
      </c>
      <c r="AH33" s="43">
        <f t="shared" ref="AH33" si="26">IFERROR(AD33/CONVERT(AE33,AF33,"MWh"),0)</f>
        <v>0</v>
      </c>
      <c r="AI33" s="45">
        <f>IFERROR(VLOOKUP($E33,technológiák!$B$3:$G$11,6,0),0)</f>
        <v>0</v>
      </c>
      <c r="AJ33" s="4">
        <f>IFERROR(VLOOKUP($E33,technológiák!$B$3:$G$11,5,0),0)</f>
        <v>0</v>
      </c>
      <c r="AK33" s="77"/>
      <c r="AL33" s="72"/>
      <c r="AM33" s="47">
        <f>IF(Z33,((AL33+1)/AK33)-(AL33/AA33),0)*IF(J33,VLOOKUP(C33,telephelyek!$A:$N,14,0),1)</f>
        <v>0</v>
      </c>
      <c r="AN33" s="4" t="b">
        <f>IFERROR(VLOOKUP($E33,technológiák!$B$3:$D$11,3,0),FALSE)</f>
        <v>0</v>
      </c>
      <c r="AO33" s="72"/>
      <c r="AP33" s="72"/>
      <c r="AQ33" s="47">
        <f>+IF($AN33,1/$AP33*IF($J33,VLOOKUP($C33,telephelyek!$A:$N,14,0),1),0)</f>
        <v>0</v>
      </c>
      <c r="AR33" s="47">
        <f>+IF($AN33,(1-1/$AP33)*IF($J33,VLOOKUP($C33,telephelyek!$A:$N,14,0),1),0)</f>
        <v>0</v>
      </c>
      <c r="AS33" s="4">
        <f>IFERROR(VLOOKUP($G33,FUELS!$B$4:$F$19,2,0),0)</f>
        <v>0</v>
      </c>
      <c r="AT33" s="4">
        <f>IFERROR(VLOOKUP($G33,FUELS!$B$4:$F$19,3,0),0)</f>
        <v>0</v>
      </c>
      <c r="AU33" s="4">
        <f>IFERROR(VLOOKUP($G33,FUELS!$B$4:$F$19,4,0),0)</f>
        <v>0</v>
      </c>
      <c r="AV33" s="4">
        <f>IFERROR(VLOOKUP($G33,FUELS!$B$4:$F$19,5,0),0)</f>
        <v>0</v>
      </c>
      <c r="AW33" s="4">
        <f>IFERROR(VLOOKUP($AO33,FUELS!$B$4:$F$19,2,0),0)</f>
        <v>0</v>
      </c>
      <c r="AX33" s="4">
        <f>IFERROR(VLOOKUP($AO33,FUELS!$B$4:$F$19,3,0),0)</f>
        <v>0</v>
      </c>
      <c r="AY33" s="4">
        <f>IFERROR(VLOOKUP($AO33,FUELS!$B$4:$F$19,4,0),0)</f>
        <v>0</v>
      </c>
      <c r="AZ33" s="4">
        <f>IFERROR(VLOOKUP($AO33,FUELS!$B$4:$F$19,5,0),0)</f>
        <v>0</v>
      </c>
    </row>
  </sheetData>
  <autoFilter ref="A2:AZ33" xr:uid="{00000000-0009-0000-0000-000002000000}"/>
  <dataConsolidate/>
  <conditionalFormatting sqref="Q30:Q33">
    <cfRule type="expression" dxfId="3" priority="6">
      <formula>NOT($P30)</formula>
    </cfRule>
  </conditionalFormatting>
  <conditionalFormatting sqref="Q3:Y33">
    <cfRule type="expression" dxfId="2" priority="3">
      <formula>NOT($P3)</formula>
    </cfRule>
  </conditionalFormatting>
  <conditionalFormatting sqref="AA3:AM33">
    <cfRule type="expression" dxfId="1" priority="2">
      <formula>NOT($Z3)</formula>
    </cfRule>
  </conditionalFormatting>
  <conditionalFormatting sqref="AO3:AR33 AW3:AZ33">
    <cfRule type="expression" dxfId="0" priority="1">
      <formula>NOT($AN3)</formula>
    </cfRule>
  </conditionalFormatting>
  <dataValidations count="12">
    <dataValidation type="list" allowBlank="1" showInputMessage="1" showErrorMessage="1" sqref="E3:E1048576" xr:uid="{00000000-0002-0000-0200-000000000000}">
      <formula1>technológiák</formula1>
    </dataValidation>
    <dataValidation type="list" allowBlank="1" showInputMessage="1" showErrorMessage="1" sqref="G3:G1048576" xr:uid="{00000000-0002-0000-0200-000001000000}">
      <formula1>Fuels</formula1>
    </dataValidation>
    <dataValidation type="list" allowBlank="1" showInputMessage="1" showErrorMessage="1" sqref="AN34:AN1048576" xr:uid="{00000000-0002-0000-0200-000002000000}">
      <formula1>"HAMIS, IGAZ"</formula1>
    </dataValidation>
    <dataValidation type="list" allowBlank="1" showInputMessage="1" showErrorMessage="1" sqref="AO3:AO1048576" xr:uid="{00000000-0002-0000-0200-000003000000}">
      <formula1>amb_source</formula1>
    </dataValidation>
    <dataValidation type="list" allowBlank="1" showInputMessage="1" showErrorMessage="1" sqref="I3:I1048576 AF3:AF1048576 AC3:AC1048576" xr:uid="{00000000-0002-0000-0200-000004000000}">
      <formula1>"GJ, MWh"</formula1>
    </dataValidation>
    <dataValidation type="whole" allowBlank="1" showInputMessage="1" showErrorMessage="1" sqref="F3:F1048576" xr:uid="{00000000-0002-0000-0200-000005000000}">
      <formula1>1950</formula1>
      <formula2>2030</formula2>
    </dataValidation>
    <dataValidation type="list" allowBlank="1" showInputMessage="1" showErrorMessage="1" sqref="J3:J1048576" xr:uid="{00000000-0002-0000-0200-000006000000}">
      <formula1>"IGAZ, HAMIS"</formula1>
    </dataValidation>
    <dataValidation type="decimal" allowBlank="1" showInputMessage="1" showErrorMessage="1" sqref="AL3:AL1048576" xr:uid="{00000000-0002-0000-0200-000007000000}">
      <formula1>0</formula1>
      <formula2>2</formula2>
    </dataValidation>
    <dataValidation type="decimal" allowBlank="1" showInputMessage="1" showErrorMessage="1" sqref="AI3:AK1048576 AG34:AG1048576" xr:uid="{00000000-0002-0000-0200-000008000000}">
      <formula1>0</formula1>
      <formula2>1</formula2>
    </dataValidation>
    <dataValidation type="decimal" operator="greaterThanOrEqual" allowBlank="1" showInputMessage="1" showErrorMessage="1" sqref="H3:H1048576" xr:uid="{00000000-0002-0000-0200-000009000000}">
      <formula1>0</formula1>
    </dataValidation>
    <dataValidation type="list" allowBlank="1" showInputMessage="1" showErrorMessage="1" sqref="Q3:Q1048576" xr:uid="{00000000-0002-0000-0200-00000A000000}">
      <formula1>"0 NEM, 1 hálózati vill.en.-ból, 2 kapcsolt termelésből"</formula1>
    </dataValidation>
    <dataValidation type="list" allowBlank="1" showInputMessage="1" showErrorMessage="1" sqref="V3:V1048576" xr:uid="{00000000-0002-0000-0200-00000B000000}">
      <formula1>"MWh, GJ"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E2" sqref="E2"/>
    </sheetView>
  </sheetViews>
  <sheetFormatPr baseColWidth="10" defaultColWidth="8.83203125" defaultRowHeight="15"/>
  <cols>
    <col min="1" max="1" width="12.5" customWidth="1"/>
    <col min="2" max="2" width="34.5" bestFit="1" customWidth="1"/>
    <col min="3" max="3" width="20" bestFit="1" customWidth="1"/>
    <col min="4" max="4" width="18.83203125" bestFit="1" customWidth="1"/>
    <col min="5" max="5" width="18.5" customWidth="1"/>
    <col min="6" max="6" width="19.5" bestFit="1" customWidth="1"/>
  </cols>
  <sheetData>
    <row r="1" spans="1:6">
      <c r="A1" s="89" t="s">
        <v>116</v>
      </c>
      <c r="B1" t="s">
        <v>122</v>
      </c>
      <c r="C1" t="s">
        <v>118</v>
      </c>
      <c r="D1" t="s">
        <v>119</v>
      </c>
      <c r="E1" t="s">
        <v>120</v>
      </c>
      <c r="F1" t="s">
        <v>121</v>
      </c>
    </row>
    <row r="2" spans="1:6">
      <c r="A2" s="90" t="s">
        <v>154</v>
      </c>
      <c r="B2">
        <v>0</v>
      </c>
      <c r="C2" t="e">
        <v>#DIV/0!</v>
      </c>
      <c r="D2" t="e">
        <v>#DIV/0!</v>
      </c>
      <c r="E2" t="e">
        <v>#DIV/0!</v>
      </c>
      <c r="F2" t="e">
        <v>#DIV/0!</v>
      </c>
    </row>
    <row r="3" spans="1:6">
      <c r="A3" s="104" t="s">
        <v>156</v>
      </c>
      <c r="B3">
        <v>0</v>
      </c>
      <c r="C3" t="e">
        <v>#DIV/0!</v>
      </c>
      <c r="D3" t="e">
        <v>#DIV/0!</v>
      </c>
      <c r="E3" t="e">
        <v>#DIV/0!</v>
      </c>
      <c r="F3" t="e">
        <v>#DIV/0!</v>
      </c>
    </row>
    <row r="4" spans="1:6">
      <c r="A4" s="104" t="s">
        <v>157</v>
      </c>
      <c r="B4">
        <v>0</v>
      </c>
      <c r="C4" t="e">
        <v>#DIV/0!</v>
      </c>
      <c r="D4" t="e">
        <v>#DIV/0!</v>
      </c>
      <c r="E4" t="e">
        <v>#DIV/0!</v>
      </c>
      <c r="F4" t="e">
        <v>#DIV/0!</v>
      </c>
    </row>
    <row r="5" spans="1:6">
      <c r="A5" s="90" t="s">
        <v>168</v>
      </c>
      <c r="B5">
        <v>0</v>
      </c>
      <c r="C5">
        <v>0</v>
      </c>
      <c r="D5">
        <v>0</v>
      </c>
      <c r="E5">
        <v>0</v>
      </c>
      <c r="F5">
        <v>0</v>
      </c>
    </row>
    <row r="6" spans="1:6">
      <c r="A6" s="104" t="s">
        <v>123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s="90" t="s">
        <v>155</v>
      </c>
      <c r="B7">
        <v>0</v>
      </c>
      <c r="C7" t="e">
        <v>#DIV/0!</v>
      </c>
      <c r="D7" t="e">
        <v>#DIV/0!</v>
      </c>
      <c r="E7" t="e">
        <v>#DIV/0!</v>
      </c>
      <c r="F7" t="e">
        <v>#DIV/0!</v>
      </c>
    </row>
    <row r="8" spans="1:6">
      <c r="A8" s="104" t="s">
        <v>158</v>
      </c>
      <c r="B8">
        <v>0</v>
      </c>
      <c r="C8" t="e">
        <v>#DIV/0!</v>
      </c>
      <c r="D8" t="e">
        <v>#DIV/0!</v>
      </c>
      <c r="E8" t="e">
        <v>#DIV/0!</v>
      </c>
      <c r="F8" t="e">
        <v>#DIV/0!</v>
      </c>
    </row>
    <row r="9" spans="1:6">
      <c r="A9" s="104" t="s">
        <v>159</v>
      </c>
      <c r="B9">
        <v>0</v>
      </c>
      <c r="C9" t="e">
        <v>#DIV/0!</v>
      </c>
      <c r="D9" t="e">
        <v>#DIV/0!</v>
      </c>
      <c r="E9" t="e">
        <v>#DIV/0!</v>
      </c>
      <c r="F9" t="e">
        <v>#DIV/0!</v>
      </c>
    </row>
    <row r="10" spans="1:6">
      <c r="A10" s="90" t="s">
        <v>117</v>
      </c>
      <c r="B10">
        <v>0</v>
      </c>
      <c r="C10" t="e">
        <v>#DIV/0!</v>
      </c>
      <c r="D10" t="e">
        <v>#DIV/0!</v>
      </c>
      <c r="E10" t="e">
        <v>#DIV/0!</v>
      </c>
      <c r="F10" t="e"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abSelected="1" workbookViewId="0">
      <selection activeCell="D3" sqref="D3"/>
    </sheetView>
  </sheetViews>
  <sheetFormatPr baseColWidth="10" defaultColWidth="8.83203125" defaultRowHeight="15"/>
  <cols>
    <col min="1" max="1" width="12.5" customWidth="1"/>
    <col min="2" max="2" width="24.5" bestFit="1" customWidth="1"/>
    <col min="3" max="3" width="23.33203125" bestFit="1" customWidth="1"/>
    <col min="4" max="4" width="22.83203125" bestFit="1" customWidth="1"/>
    <col min="5" max="5" width="26.33203125" bestFit="1" customWidth="1"/>
  </cols>
  <sheetData>
    <row r="1" spans="1:5">
      <c r="A1" s="89" t="s">
        <v>116</v>
      </c>
      <c r="B1" t="s">
        <v>124</v>
      </c>
      <c r="C1" t="s">
        <v>125</v>
      </c>
      <c r="D1" t="s">
        <v>126</v>
      </c>
      <c r="E1" t="s">
        <v>127</v>
      </c>
    </row>
    <row r="2" spans="1:5">
      <c r="A2" s="90" t="s">
        <v>123</v>
      </c>
      <c r="B2">
        <v>0</v>
      </c>
      <c r="C2">
        <v>0</v>
      </c>
      <c r="D2">
        <v>0</v>
      </c>
      <c r="E2">
        <v>0</v>
      </c>
    </row>
    <row r="3" spans="1:5">
      <c r="A3" s="90" t="s">
        <v>154</v>
      </c>
      <c r="B3">
        <v>0</v>
      </c>
      <c r="C3">
        <v>0</v>
      </c>
      <c r="D3">
        <v>0</v>
      </c>
      <c r="E3">
        <v>0</v>
      </c>
    </row>
    <row r="4" spans="1:5">
      <c r="A4" s="90" t="s">
        <v>155</v>
      </c>
      <c r="B4">
        <v>0</v>
      </c>
      <c r="C4">
        <v>0</v>
      </c>
      <c r="D4">
        <v>0</v>
      </c>
      <c r="E4">
        <v>0</v>
      </c>
    </row>
    <row r="5" spans="1:5">
      <c r="A5" s="90" t="s">
        <v>117</v>
      </c>
      <c r="B5">
        <v>0</v>
      </c>
      <c r="C5">
        <v>0</v>
      </c>
      <c r="D5">
        <v>0</v>
      </c>
      <c r="E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workbookViewId="0">
      <selection activeCell="F5" sqref="F5"/>
    </sheetView>
  </sheetViews>
  <sheetFormatPr baseColWidth="10" defaultColWidth="8.83203125" defaultRowHeight="15"/>
  <cols>
    <col min="1" max="1" width="7.83203125" customWidth="1"/>
    <col min="2" max="2" width="39.5" bestFit="1" customWidth="1"/>
    <col min="7" max="8" width="9.1640625"/>
  </cols>
  <sheetData>
    <row r="1" spans="1:10" ht="16" thickBot="1">
      <c r="B1" s="17"/>
      <c r="C1" s="18"/>
      <c r="D1" s="18"/>
      <c r="E1" s="18"/>
      <c r="F1" s="18"/>
      <c r="G1" s="3" t="s">
        <v>23</v>
      </c>
      <c r="H1" s="2"/>
      <c r="I1" s="2"/>
      <c r="J1">
        <v>100</v>
      </c>
    </row>
    <row r="2" spans="1:10" ht="16" thickBot="1">
      <c r="B2" s="29"/>
      <c r="C2" s="18"/>
      <c r="D2" s="18"/>
      <c r="E2" s="18"/>
      <c r="F2" s="18"/>
      <c r="G2" s="23">
        <v>0</v>
      </c>
      <c r="H2" s="23">
        <v>2012</v>
      </c>
      <c r="I2" s="23">
        <v>2016</v>
      </c>
    </row>
    <row r="3" spans="1:10" ht="33" thickBot="1">
      <c r="B3" s="20" t="s">
        <v>7</v>
      </c>
      <c r="C3" s="21" t="s">
        <v>43</v>
      </c>
      <c r="D3" s="21" t="s">
        <v>44</v>
      </c>
      <c r="E3" s="22" t="s">
        <v>45</v>
      </c>
      <c r="F3" s="21" t="s">
        <v>46</v>
      </c>
      <c r="G3" s="23">
        <v>2011</v>
      </c>
      <c r="H3" s="23">
        <v>2015</v>
      </c>
      <c r="I3" s="23">
        <v>9999</v>
      </c>
    </row>
    <row r="4" spans="1:10" ht="15.75" customHeight="1" thickBot="1">
      <c r="B4" s="24" t="s">
        <v>8</v>
      </c>
      <c r="C4" s="25">
        <v>2.2999999999999998</v>
      </c>
      <c r="D4" s="25">
        <v>0.3</v>
      </c>
      <c r="E4" s="25">
        <v>2.6</v>
      </c>
      <c r="F4" s="25">
        <v>455</v>
      </c>
      <c r="G4" s="19"/>
      <c r="H4" s="19"/>
      <c r="I4" s="19"/>
    </row>
    <row r="5" spans="1:10" ht="16" thickBot="1">
      <c r="B5" s="24" t="s">
        <v>9</v>
      </c>
      <c r="C5" s="25">
        <v>0</v>
      </c>
      <c r="D5" s="25">
        <v>1</v>
      </c>
      <c r="E5" s="25">
        <v>1</v>
      </c>
      <c r="F5" s="25">
        <v>74</v>
      </c>
      <c r="G5" s="19"/>
      <c r="H5" s="19"/>
      <c r="I5" s="19"/>
    </row>
    <row r="6" spans="1:10" ht="17" thickBot="1">
      <c r="A6" s="15"/>
      <c r="B6" s="24" t="s">
        <v>38</v>
      </c>
      <c r="C6" s="25">
        <v>1.1000000000000001</v>
      </c>
      <c r="D6" s="25">
        <v>0</v>
      </c>
      <c r="E6" s="25">
        <v>1.1000000000000001</v>
      </c>
      <c r="F6" s="25">
        <v>456</v>
      </c>
      <c r="G6" s="26">
        <v>0.442</v>
      </c>
      <c r="H6" s="26">
        <v>0.442</v>
      </c>
      <c r="I6" s="27">
        <v>0.442</v>
      </c>
    </row>
    <row r="7" spans="1:10" ht="17" thickBot="1">
      <c r="A7" s="15"/>
      <c r="B7" s="24" t="s">
        <v>39</v>
      </c>
      <c r="C7" s="25">
        <v>1.1000000000000001</v>
      </c>
      <c r="D7" s="25">
        <v>0</v>
      </c>
      <c r="E7" s="25">
        <v>1.1000000000000001</v>
      </c>
      <c r="F7" s="25">
        <v>456</v>
      </c>
      <c r="G7" s="26">
        <v>0.41799999999999998</v>
      </c>
      <c r="H7" s="26">
        <v>0.41799999999999998</v>
      </c>
      <c r="I7" s="27">
        <v>0.41799999999999998</v>
      </c>
    </row>
    <row r="8" spans="1:10" ht="17" thickBot="1">
      <c r="A8" s="15"/>
      <c r="B8" s="24" t="s">
        <v>10</v>
      </c>
      <c r="C8" s="25">
        <v>1.1000000000000001</v>
      </c>
      <c r="D8" s="25">
        <v>0</v>
      </c>
      <c r="E8" s="25">
        <v>1.1000000000000001</v>
      </c>
      <c r="F8" s="25">
        <v>308</v>
      </c>
      <c r="G8" s="26">
        <v>0.442</v>
      </c>
      <c r="H8" s="26">
        <v>0.442</v>
      </c>
      <c r="I8" s="27">
        <v>0.442</v>
      </c>
    </row>
    <row r="9" spans="1:10" ht="17" thickBot="1">
      <c r="A9" s="15"/>
      <c r="B9" s="24" t="s">
        <v>11</v>
      </c>
      <c r="C9" s="25">
        <v>1.1000000000000001</v>
      </c>
      <c r="D9" s="25">
        <v>0</v>
      </c>
      <c r="E9" s="25">
        <v>1.1000000000000001</v>
      </c>
      <c r="F9" s="25">
        <v>315</v>
      </c>
      <c r="G9" s="26">
        <v>0.442</v>
      </c>
      <c r="H9" s="26">
        <v>0.442</v>
      </c>
      <c r="I9" s="27">
        <v>0.442</v>
      </c>
    </row>
    <row r="10" spans="1:10" ht="17" thickBot="1">
      <c r="A10" s="15"/>
      <c r="B10" s="24" t="s">
        <v>12</v>
      </c>
      <c r="C10" s="25">
        <v>1.1000000000000001</v>
      </c>
      <c r="D10" s="25">
        <v>0</v>
      </c>
      <c r="E10" s="25">
        <v>1.1000000000000001</v>
      </c>
      <c r="F10" s="25">
        <v>297</v>
      </c>
      <c r="G10" s="26">
        <v>0.52500000000000002</v>
      </c>
      <c r="H10" s="26">
        <v>0.52500000000000002</v>
      </c>
      <c r="I10" s="27">
        <v>0.53</v>
      </c>
    </row>
    <row r="11" spans="1:10" ht="16.5" customHeight="1" thickBot="1">
      <c r="A11" s="15"/>
      <c r="B11" s="24" t="s">
        <v>13</v>
      </c>
      <c r="C11" s="25">
        <v>0</v>
      </c>
      <c r="D11" s="25">
        <v>0</v>
      </c>
      <c r="E11" s="25">
        <v>0</v>
      </c>
      <c r="F11" s="25">
        <v>22.8</v>
      </c>
      <c r="G11" s="26">
        <v>0.33</v>
      </c>
      <c r="H11" s="26">
        <v>0.33</v>
      </c>
      <c r="I11" s="27">
        <v>0.33</v>
      </c>
    </row>
    <row r="12" spans="1:10" ht="17" thickBot="1">
      <c r="A12" s="15"/>
      <c r="B12" s="24" t="s">
        <v>14</v>
      </c>
      <c r="C12" s="25">
        <v>0.5</v>
      </c>
      <c r="D12" s="25">
        <v>0.5</v>
      </c>
      <c r="E12" s="25">
        <v>1</v>
      </c>
      <c r="F12" s="25">
        <v>163</v>
      </c>
      <c r="G12" s="26">
        <v>0.25</v>
      </c>
      <c r="H12" s="26">
        <v>0.25</v>
      </c>
      <c r="I12" s="27">
        <v>0.25</v>
      </c>
    </row>
    <row r="13" spans="1:10" ht="17" thickBot="1">
      <c r="A13" s="15"/>
      <c r="B13" s="24" t="s">
        <v>15</v>
      </c>
      <c r="C13" s="25">
        <v>0.2</v>
      </c>
      <c r="D13" s="25">
        <v>1</v>
      </c>
      <c r="E13" s="25">
        <v>1.2</v>
      </c>
      <c r="F13" s="25">
        <v>40</v>
      </c>
      <c r="G13" s="26">
        <v>0.33</v>
      </c>
      <c r="H13" s="26">
        <v>0.33</v>
      </c>
      <c r="I13" s="27">
        <v>0.37</v>
      </c>
    </row>
    <row r="14" spans="1:10" ht="17" thickBot="1">
      <c r="A14" s="15"/>
      <c r="B14" s="24" t="s">
        <v>16</v>
      </c>
      <c r="C14" s="25">
        <v>0.5</v>
      </c>
      <c r="D14" s="25">
        <v>1</v>
      </c>
      <c r="E14" s="25">
        <v>1.5</v>
      </c>
      <c r="F14" s="25">
        <v>70</v>
      </c>
      <c r="G14" s="26">
        <v>0.442</v>
      </c>
      <c r="H14" s="26">
        <v>0.442</v>
      </c>
      <c r="I14" s="27">
        <v>0.442</v>
      </c>
    </row>
    <row r="15" spans="1:10" ht="17" thickBot="1">
      <c r="A15" s="15"/>
      <c r="B15" s="24" t="s">
        <v>17</v>
      </c>
      <c r="C15" s="25">
        <v>0.4</v>
      </c>
      <c r="D15" s="25">
        <v>1</v>
      </c>
      <c r="E15" s="25">
        <v>1.4</v>
      </c>
      <c r="F15" s="25">
        <v>83</v>
      </c>
      <c r="G15" s="26">
        <v>0.42</v>
      </c>
      <c r="H15" s="26">
        <v>0.42</v>
      </c>
      <c r="I15" s="27">
        <v>0.42</v>
      </c>
    </row>
    <row r="16" spans="1:10" ht="17" thickBot="1">
      <c r="A16" s="15"/>
      <c r="B16" s="24" t="s">
        <v>19</v>
      </c>
      <c r="C16" s="25">
        <v>0</v>
      </c>
      <c r="D16" s="25">
        <v>1</v>
      </c>
      <c r="E16" s="25">
        <v>1</v>
      </c>
      <c r="F16" s="25">
        <v>25</v>
      </c>
      <c r="G16" s="26">
        <v>0.3</v>
      </c>
      <c r="H16" s="26">
        <v>0.3</v>
      </c>
      <c r="I16" s="27">
        <v>0.3</v>
      </c>
    </row>
    <row r="17" spans="1:9" ht="17" thickBot="1">
      <c r="A17" s="15"/>
      <c r="B17" s="24" t="s">
        <v>18</v>
      </c>
      <c r="C17" s="25">
        <v>0</v>
      </c>
      <c r="D17" s="25">
        <v>0</v>
      </c>
      <c r="E17" s="25">
        <v>0</v>
      </c>
      <c r="F17" s="25">
        <v>0</v>
      </c>
      <c r="G17" s="26">
        <v>0.3</v>
      </c>
      <c r="H17" s="26">
        <v>0.3</v>
      </c>
      <c r="I17" s="27">
        <v>0.3</v>
      </c>
    </row>
    <row r="18" spans="1:9" ht="16" thickBot="1">
      <c r="A18" s="16"/>
      <c r="B18" s="24" t="s">
        <v>20</v>
      </c>
      <c r="C18" s="25">
        <v>0</v>
      </c>
      <c r="D18" s="25">
        <v>1</v>
      </c>
      <c r="E18" s="25">
        <v>1</v>
      </c>
      <c r="F18" s="25">
        <v>27</v>
      </c>
      <c r="G18" s="26">
        <v>0.3</v>
      </c>
      <c r="H18" s="26">
        <v>0.3</v>
      </c>
      <c r="I18" s="27">
        <v>0.3</v>
      </c>
    </row>
    <row r="19" spans="1:9" ht="17" thickBot="1">
      <c r="A19" s="15"/>
      <c r="B19" s="24" t="s">
        <v>21</v>
      </c>
      <c r="C19" s="25">
        <v>0</v>
      </c>
      <c r="D19" s="25">
        <v>1</v>
      </c>
      <c r="E19" s="25">
        <v>1</v>
      </c>
      <c r="F19" s="25">
        <v>27</v>
      </c>
      <c r="G19" s="26">
        <v>0.19500000000000001</v>
      </c>
      <c r="H19" s="26">
        <v>0.19500000000000001</v>
      </c>
      <c r="I19" s="27">
        <v>0.19500000000000001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1"/>
  <sheetViews>
    <sheetView workbookViewId="0">
      <selection activeCell="I6" sqref="I6"/>
    </sheetView>
  </sheetViews>
  <sheetFormatPr baseColWidth="10" defaultColWidth="9.1640625" defaultRowHeight="15"/>
  <cols>
    <col min="1" max="1" width="4.6640625" customWidth="1"/>
    <col min="2" max="2" width="111" style="1" customWidth="1"/>
    <col min="3" max="3" width="22.5" style="1" bestFit="1" customWidth="1"/>
    <col min="4" max="4" width="15.6640625" style="1" bestFit="1" customWidth="1"/>
    <col min="5" max="5" width="17.1640625" bestFit="1" customWidth="1"/>
    <col min="6" max="6" width="7" bestFit="1" customWidth="1"/>
    <col min="7" max="7" width="10.5" bestFit="1" customWidth="1"/>
  </cols>
  <sheetData>
    <row r="2" spans="2:7" ht="21" thickBot="1">
      <c r="B2" s="12" t="s">
        <v>27</v>
      </c>
      <c r="C2" s="30" t="s">
        <v>55</v>
      </c>
      <c r="D2" s="30" t="s">
        <v>22</v>
      </c>
      <c r="E2" s="11" t="s">
        <v>42</v>
      </c>
      <c r="F2" s="10" t="s">
        <v>28</v>
      </c>
      <c r="G2" s="36" t="s">
        <v>59</v>
      </c>
    </row>
    <row r="3" spans="2:7" ht="20">
      <c r="B3" s="28" t="s">
        <v>150</v>
      </c>
      <c r="C3" s="31" t="b">
        <v>0</v>
      </c>
      <c r="D3" s="9" t="b">
        <v>0</v>
      </c>
      <c r="E3" s="9">
        <v>1.1200000000000001</v>
      </c>
      <c r="F3" s="9">
        <v>0</v>
      </c>
      <c r="G3" s="78">
        <v>0.89300000000000002</v>
      </c>
    </row>
    <row r="4" spans="2:7" ht="20">
      <c r="B4" s="14" t="s">
        <v>54</v>
      </c>
      <c r="C4" s="33" t="b">
        <v>0</v>
      </c>
      <c r="D4" s="9" t="b">
        <v>0</v>
      </c>
      <c r="E4" s="9">
        <f>ROUND(1/0.98,3)</f>
        <v>1.02</v>
      </c>
      <c r="F4" s="9">
        <v>0</v>
      </c>
      <c r="G4" s="78">
        <v>0.89300000000000002</v>
      </c>
    </row>
    <row r="5" spans="2:7" ht="20">
      <c r="B5" s="14" t="s">
        <v>149</v>
      </c>
      <c r="C5" s="33" t="b">
        <v>0</v>
      </c>
      <c r="D5" s="9" t="b">
        <v>0</v>
      </c>
      <c r="E5" s="9">
        <v>1</v>
      </c>
      <c r="F5" s="9">
        <v>0</v>
      </c>
      <c r="G5" s="78">
        <v>1</v>
      </c>
    </row>
    <row r="6" spans="2:7" ht="20">
      <c r="B6" s="13" t="s">
        <v>24</v>
      </c>
      <c r="C6" s="32" t="b">
        <v>1</v>
      </c>
      <c r="D6" s="9" t="b">
        <v>0</v>
      </c>
      <c r="E6" s="9">
        <v>0.54</v>
      </c>
      <c r="F6" s="9">
        <v>0.95</v>
      </c>
      <c r="G6" s="78">
        <v>0.83</v>
      </c>
    </row>
    <row r="7" spans="2:7" ht="20">
      <c r="B7" s="14" t="s">
        <v>25</v>
      </c>
      <c r="C7" s="32" t="b">
        <v>1</v>
      </c>
      <c r="D7" s="9" t="b">
        <v>0</v>
      </c>
      <c r="E7" s="9">
        <v>0.87</v>
      </c>
      <c r="F7" s="9">
        <v>0.45</v>
      </c>
      <c r="G7" s="78">
        <v>0.84</v>
      </c>
    </row>
    <row r="8" spans="2:7" ht="20">
      <c r="B8" s="14" t="s">
        <v>56</v>
      </c>
      <c r="C8" s="32" t="b">
        <v>1</v>
      </c>
      <c r="D8" s="9" t="b">
        <v>0</v>
      </c>
      <c r="E8" s="9">
        <v>0.55000000000000004</v>
      </c>
      <c r="F8" s="9">
        <v>0.75</v>
      </c>
      <c r="G8" s="78">
        <v>0.88400000000000001</v>
      </c>
    </row>
    <row r="9" spans="2:7" ht="20">
      <c r="B9" s="14" t="s">
        <v>57</v>
      </c>
      <c r="C9" s="32" t="b">
        <v>1</v>
      </c>
      <c r="D9" s="9" t="b">
        <v>0</v>
      </c>
      <c r="E9" s="9">
        <v>0.72</v>
      </c>
      <c r="F9" s="9">
        <v>0.75</v>
      </c>
      <c r="G9" s="78">
        <v>0.8145</v>
      </c>
    </row>
    <row r="10" spans="2:7" ht="20">
      <c r="B10" s="14" t="s">
        <v>26</v>
      </c>
      <c r="C10" s="32" t="b">
        <v>1</v>
      </c>
      <c r="D10" s="9" t="b">
        <v>0</v>
      </c>
      <c r="E10" s="9">
        <v>0.82</v>
      </c>
      <c r="F10" s="9">
        <v>0.55000000000000004</v>
      </c>
      <c r="G10" s="78">
        <v>0.83</v>
      </c>
    </row>
    <row r="11" spans="2:7" ht="20">
      <c r="B11" s="14" t="s">
        <v>47</v>
      </c>
      <c r="C11" s="34" t="b">
        <v>0</v>
      </c>
      <c r="D11" s="9" t="b">
        <v>1</v>
      </c>
      <c r="E11" s="9"/>
      <c r="F11" s="9"/>
      <c r="G11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A3" sqref="A3"/>
    </sheetView>
  </sheetViews>
  <sheetFormatPr baseColWidth="10" defaultColWidth="8.83203125" defaultRowHeight="15"/>
  <cols>
    <col min="1" max="1" width="28" bestFit="1" customWidth="1"/>
    <col min="2" max="2" width="22.33203125" bestFit="1" customWidth="1"/>
    <col min="3" max="3" width="19.33203125" bestFit="1" customWidth="1"/>
  </cols>
  <sheetData>
    <row r="1" spans="1:3" ht="19">
      <c r="A1" s="7" t="s">
        <v>37</v>
      </c>
      <c r="B1" s="7"/>
      <c r="C1" s="7" t="s">
        <v>41</v>
      </c>
    </row>
    <row r="2" spans="1:3" ht="19">
      <c r="A2" s="8">
        <v>0</v>
      </c>
      <c r="B2" s="8">
        <v>27800000</v>
      </c>
      <c r="C2" s="7">
        <v>1.0999999999999999E-2</v>
      </c>
    </row>
    <row r="3" spans="1:3" ht="19">
      <c r="A3" s="8">
        <v>27800000</v>
      </c>
      <c r="B3" s="8">
        <v>139000000</v>
      </c>
      <c r="C3" s="7">
        <v>8.0000000000000002E-3</v>
      </c>
    </row>
    <row r="4" spans="1:3" ht="19">
      <c r="A4" s="8">
        <v>139000000</v>
      </c>
      <c r="B4" s="8">
        <v>100000000000</v>
      </c>
      <c r="C4" s="7">
        <v>6.0000000000000001E-3</v>
      </c>
    </row>
    <row r="7" spans="1:3">
      <c r="A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</vt:i4>
      </vt:variant>
    </vt:vector>
  </HeadingPairs>
  <TitlesOfParts>
    <vt:vector size="11" baseType="lpstr">
      <vt:lpstr>rendszerek</vt:lpstr>
      <vt:lpstr>telephelyek</vt:lpstr>
      <vt:lpstr>Egységek</vt:lpstr>
      <vt:lpstr>Egység_összegzés</vt:lpstr>
      <vt:lpstr>Telephely_összegzés</vt:lpstr>
      <vt:lpstr>FUELS</vt:lpstr>
      <vt:lpstr>technológiák</vt:lpstr>
      <vt:lpstr>alfa_vill.</vt:lpstr>
      <vt:lpstr>amb_source</vt:lpstr>
      <vt:lpstr>Fuels</vt:lpstr>
      <vt:lpstr>technológiák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Némethi Balázs</dc:creator>
  <cp:lastModifiedBy>Nagy Edit</cp:lastModifiedBy>
  <cp:lastPrinted>2023-06-22T15:02:01Z</cp:lastPrinted>
  <dcterms:created xsi:type="dcterms:W3CDTF">2023-06-13T15:17:33Z</dcterms:created>
  <dcterms:modified xsi:type="dcterms:W3CDTF">2024-01-25T15:24:05Z</dcterms:modified>
</cp:coreProperties>
</file>